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760" firstSheet="3" activeTab="0"/>
  </bookViews>
  <sheets>
    <sheet name="Summary Allocations" sheetId="1" r:id="rId1"/>
    <sheet name="Budget Premisis" sheetId="2" r:id="rId2"/>
    <sheet name="Income to be Allocated" sheetId="3" r:id="rId3"/>
    <sheet name="Apportionment" sheetId="4" r:id="rId4"/>
    <sheet name="Foundation Calculations" sheetId="5" r:id="rId5"/>
    <sheet name="Initial Stabilization" sheetId="6" r:id="rId6"/>
    <sheet name="District Costs" sheetId="7" r:id="rId7"/>
    <sheet name="Base FTES Allocations" sheetId="8" r:id="rId8"/>
    <sheet name="FTES COLA Allocation" sheetId="9" r:id="rId9"/>
    <sheet name="FTES Growth Allocations" sheetId="10" r:id="rId10"/>
    <sheet name="FTES Decline Mechanism" sheetId="11" r:id="rId11"/>
    <sheet name="Other Income  Inc -Decline " sheetId="12" r:id="rId12"/>
  </sheets>
  <externalReferences>
    <externalReference r:id="rId15"/>
    <externalReference r:id="rId16"/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<sst xmlns="http://schemas.openxmlformats.org/spreadsheetml/2006/main" count="353" uniqueCount="233">
  <si>
    <t>Kern Community Colleg District</t>
  </si>
  <si>
    <t>Description</t>
  </si>
  <si>
    <t>Bakersfield College</t>
  </si>
  <si>
    <t>Cerro Coso Community College</t>
  </si>
  <si>
    <t>Porterville College</t>
  </si>
  <si>
    <t>Total</t>
  </si>
  <si>
    <t>Kern Community College District</t>
  </si>
  <si>
    <t>FOUNDATION CALCULATIONS</t>
  </si>
  <si>
    <t>FTES</t>
  </si>
  <si>
    <t>District Wide &amp; Fixed Expense Summary</t>
  </si>
  <si>
    <t>2005-06</t>
  </si>
  <si>
    <t>2006-07</t>
  </si>
  <si>
    <t xml:space="preserve">Actual </t>
  </si>
  <si>
    <t>%</t>
  </si>
  <si>
    <t xml:space="preserve"> </t>
  </si>
  <si>
    <t>Difference</t>
  </si>
  <si>
    <t>Educational Services</t>
  </si>
  <si>
    <t xml:space="preserve">     Strategic Planning</t>
  </si>
  <si>
    <t>Information Technology</t>
  </si>
  <si>
    <t xml:space="preserve">     Consortium Membership</t>
  </si>
  <si>
    <t xml:space="preserve">     Supplies</t>
  </si>
  <si>
    <t xml:space="preserve">     Consulting Services</t>
  </si>
  <si>
    <t xml:space="preserve">     Training and Travel</t>
  </si>
  <si>
    <t xml:space="preserve">     Institutional Dues</t>
  </si>
  <si>
    <t xml:space="preserve">     Fuel &amp; Lubricants</t>
  </si>
  <si>
    <t xml:space="preserve">     Network Data Lines</t>
  </si>
  <si>
    <t xml:space="preserve">     Software Licensing Fees</t>
  </si>
  <si>
    <t xml:space="preserve">     Computer Hardware Maint. Agreements</t>
  </si>
  <si>
    <t xml:space="preserve">     Other Equipment Maintenance Agreements</t>
  </si>
  <si>
    <t xml:space="preserve">     Postage</t>
  </si>
  <si>
    <t xml:space="preserve">     Computer/Technology Equipment</t>
  </si>
  <si>
    <t>Chancellor's Office</t>
  </si>
  <si>
    <t xml:space="preserve">     Institutional Dues/Memberships</t>
  </si>
  <si>
    <t xml:space="preserve">     Lobbyist</t>
  </si>
  <si>
    <t xml:space="preserve">     Election Costs</t>
  </si>
  <si>
    <t xml:space="preserve">     Consultants (Operational Reviews)</t>
  </si>
  <si>
    <t xml:space="preserve">     Research &amp; Development</t>
  </si>
  <si>
    <t>Human Resources</t>
  </si>
  <si>
    <t xml:space="preserve">     Attorney Fees-Personnel</t>
  </si>
  <si>
    <t xml:space="preserve">     Relocation of HR to LSC</t>
  </si>
  <si>
    <t xml:space="preserve">     Physical Exams</t>
  </si>
  <si>
    <t xml:space="preserve">     Fingerprinting</t>
  </si>
  <si>
    <t>Business Services</t>
  </si>
  <si>
    <t xml:space="preserve">     Retirement Benefits</t>
  </si>
  <si>
    <t xml:space="preserve">     Fund Post Retirement Liability</t>
  </si>
  <si>
    <t xml:space="preserve">     Mandated Cost Consulting</t>
  </si>
  <si>
    <t xml:space="preserve">     Facilities Planning Costs (Non-Measure G)</t>
  </si>
  <si>
    <t xml:space="preserve">     Post Retirement Medical Liability Analysis</t>
  </si>
  <si>
    <t xml:space="preserve">     District Wide Student Fee Analysis</t>
  </si>
  <si>
    <t xml:space="preserve">     Coordination of  Bid for workers Comp.</t>
  </si>
  <si>
    <t xml:space="preserve">     Systems Analysis &amp; Improvement : SIG</t>
  </si>
  <si>
    <t xml:space="preserve">     Property/Liability Insurance </t>
  </si>
  <si>
    <t xml:space="preserve">     Student Insurance</t>
  </si>
  <si>
    <t xml:space="preserve">     Insurance Deductibles</t>
  </si>
  <si>
    <t xml:space="preserve">     Audit (incl. Measure G Audit &amp; Indirect Cost Rate Review)</t>
  </si>
  <si>
    <t xml:space="preserve">     Attorney Fees-Schools Legal</t>
  </si>
  <si>
    <t xml:space="preserve">     TRANS Issue &amp; Interest Expense</t>
  </si>
  <si>
    <t xml:space="preserve">     Taxes, Licenses &amp; Permits</t>
  </si>
  <si>
    <t xml:space="preserve">     Bank Charges/Credit Card Expense</t>
  </si>
  <si>
    <t xml:space="preserve">     COP Payment</t>
  </si>
  <si>
    <t xml:space="preserve">     Total District Wide &amp; Fixed Expense</t>
  </si>
  <si>
    <t>COLA</t>
  </si>
  <si>
    <t>Kern Community College District Income</t>
  </si>
  <si>
    <t>FTES (credit)</t>
  </si>
  <si>
    <t>FTES (non-credit)</t>
  </si>
  <si>
    <t>2006-07 Adopted Budget Allocation</t>
  </si>
  <si>
    <t>Growth Allocation Per FTES (Based upon Prior year actual growth)</t>
  </si>
  <si>
    <t>Net Growth</t>
  </si>
  <si>
    <t>Growth Income (only if overall growth increases, otherwise zero growth allocation)</t>
  </si>
  <si>
    <t>Income Description</t>
  </si>
  <si>
    <t>Variance</t>
  </si>
  <si>
    <t>Beginning Balance -- District -wide</t>
  </si>
  <si>
    <t>Total Beginning Balance</t>
  </si>
  <si>
    <t xml:space="preserve">State Apportionment &amp;  Property Taxes </t>
  </si>
  <si>
    <t>Enrollment Fees</t>
  </si>
  <si>
    <t xml:space="preserve">Part-Time Faculty  (Adjunct ) Faculty Support </t>
  </si>
  <si>
    <t>Forest Reserves</t>
  </si>
  <si>
    <t>Potash Royalties</t>
  </si>
  <si>
    <t>Basic Skills</t>
  </si>
  <si>
    <t>Enrollment Fee Administration Allowance</t>
  </si>
  <si>
    <t>Lottery Revenue</t>
  </si>
  <si>
    <t>Mandated Costs</t>
  </si>
  <si>
    <t>Interest Income</t>
  </si>
  <si>
    <t>Partnership for Excellence</t>
  </si>
  <si>
    <t>Equalization</t>
  </si>
  <si>
    <t>Unfunded FTES</t>
  </si>
  <si>
    <t>Miscellaneous Income</t>
  </si>
  <si>
    <t>2004-05 PY Correction</t>
  </si>
  <si>
    <t>2004-05 Booked</t>
  </si>
  <si>
    <t>Apportionment</t>
  </si>
  <si>
    <t>Taxes</t>
  </si>
  <si>
    <t>FTES Growth Allocations</t>
  </si>
  <si>
    <t>College Base Rates  Per FTES</t>
  </si>
  <si>
    <t>District Operations Base Rate per FTES</t>
  </si>
  <si>
    <t>FTES COLA Allocations</t>
  </si>
  <si>
    <t>COLA to be Allocated</t>
  </si>
  <si>
    <t>College Operations</t>
  </si>
  <si>
    <t>Small College Grants</t>
  </si>
  <si>
    <t xml:space="preserve">  College Base Allocation Per FTES</t>
  </si>
  <si>
    <t xml:space="preserve">Total Projected COLA Income </t>
  </si>
  <si>
    <t>Total Income To be Allocated</t>
  </si>
  <si>
    <t>&lt;&lt; Based upon Prior year rates for growth</t>
  </si>
  <si>
    <t xml:space="preserve">  Eastern Sierra (CPEC Approved)</t>
  </si>
  <si>
    <t xml:space="preserve">  Delano Center (CPEC Approved)</t>
  </si>
  <si>
    <t xml:space="preserve">  Southern Kern (Grandfathered)</t>
  </si>
  <si>
    <t xml:space="preserve">  Kern River Valley (not eligible)</t>
  </si>
  <si>
    <t xml:space="preserve">FTES 2005-06 </t>
  </si>
  <si>
    <t>2006-07 Base</t>
  </si>
  <si>
    <t xml:space="preserve"> 2007-08 Projection</t>
  </si>
  <si>
    <t>Cerro Coso College</t>
  </si>
  <si>
    <t xml:space="preserve">COLA </t>
  </si>
  <si>
    <t>2006-07 Apportionment Projections</t>
  </si>
  <si>
    <t>State Apportionment &amp; Property Tax</t>
  </si>
  <si>
    <t>Other</t>
  </si>
  <si>
    <t>Total Computational (no deficit)</t>
  </si>
  <si>
    <t>Projected 2006/07 Annual Results</t>
  </si>
  <si>
    <t>Projected 2007/08</t>
  </si>
  <si>
    <t>Base Operating Allocations:</t>
  </si>
  <si>
    <t>Base FTES Allocations:</t>
  </si>
  <si>
    <t>Changes to FTES Allocations Increase/(Decrease):</t>
  </si>
  <si>
    <t>Growth Allocations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</si>
  <si>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</si>
  <si>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</si>
  <si>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</si>
  <si>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</si>
  <si>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</si>
  <si>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</si>
  <si>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</si>
  <si>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</si>
  <si>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</si>
  <si>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</si>
  <si>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Step 11</t>
  </si>
  <si>
    <t xml:space="preserve">   Initial Model start-up stabilization funding (one year funding)</t>
  </si>
  <si>
    <t>Step 12</t>
  </si>
  <si>
    <t xml:space="preserve">   COLA  Adjustment</t>
  </si>
  <si>
    <t>College  Base</t>
  </si>
  <si>
    <t>College(s) Initial SB361</t>
  </si>
  <si>
    <t>Centers Initial SB 361</t>
  </si>
  <si>
    <t>Total Base Foundation  (Year 2)</t>
  </si>
  <si>
    <t>Step 13</t>
  </si>
  <si>
    <t>College Discretionary Carryover</t>
  </si>
  <si>
    <t>Beginning Balance (Unrestricted)</t>
  </si>
  <si>
    <t>Change to Base Allocations Increase/(Decrease)</t>
  </si>
  <si>
    <t xml:space="preserve">  Strategic Initiatives</t>
  </si>
  <si>
    <t>Total Income</t>
  </si>
  <si>
    <t>Beginning Balance and Income to be Allocated</t>
  </si>
  <si>
    <t>Total Beginning Balance and Income to be Allocated</t>
  </si>
  <si>
    <t xml:space="preserve"> Total Base Allocations</t>
  </si>
  <si>
    <t>Non-Credit Growth Rate Per FTES</t>
  </si>
  <si>
    <t>Credit Growth Rate Per FTES</t>
  </si>
  <si>
    <t>Growth Allocation</t>
  </si>
  <si>
    <t>FTES Decline Allocation Per FTES (Based upon Prior year actual growth)</t>
  </si>
  <si>
    <t>Decline  Allocation</t>
  </si>
  <si>
    <t xml:space="preserve">Year 1 of Decline </t>
  </si>
  <si>
    <t>Yes or No</t>
  </si>
  <si>
    <t>Must answer question to derive Decline Impact</t>
  </si>
  <si>
    <t>Base FTES Allocations</t>
  </si>
  <si>
    <t xml:space="preserve"> Total</t>
  </si>
  <si>
    <t>Other Changes Increase/(Decrease)</t>
  </si>
  <si>
    <t xml:space="preserve">Increase/(Decrease) to District-wide Reserves </t>
  </si>
  <si>
    <t>Regulatory Charge Back</t>
  </si>
  <si>
    <t>Total FTES Allocations</t>
  </si>
  <si>
    <t xml:space="preserve">     Total District Office Costs</t>
  </si>
  <si>
    <t xml:space="preserve">     Total Regulatory Costs</t>
  </si>
  <si>
    <t>&lt;&lt;&lt; To be determined from analysis of current District Office and District wide</t>
  </si>
  <si>
    <t>District Office Charge Back per FTES</t>
  </si>
  <si>
    <t>Total Allocations</t>
  </si>
  <si>
    <t>District Operations</t>
  </si>
  <si>
    <t>Regulatory</t>
  </si>
  <si>
    <t>Base District wide Reserves</t>
  </si>
  <si>
    <t>Total District Charge back &amp; Reserves</t>
  </si>
  <si>
    <t>Summary Funds Available to Budget</t>
  </si>
  <si>
    <t>District-wide Reserves</t>
  </si>
  <si>
    <t>Net Change in Allocation from Prior Year</t>
  </si>
  <si>
    <t>Other Changes Stabilization (impact on reserves)</t>
  </si>
  <si>
    <t>Total Funds available to budget</t>
  </si>
  <si>
    <t xml:space="preserve">District-wide Reserves </t>
  </si>
  <si>
    <t xml:space="preserve">College Mandatory Reserves and Discretionary Carry over </t>
  </si>
  <si>
    <t xml:space="preserve"> Allocations</t>
  </si>
  <si>
    <t>District Wide Costs</t>
  </si>
  <si>
    <t>Decline  Stabilization</t>
  </si>
  <si>
    <t>FTES Decline Impact</t>
  </si>
  <si>
    <t xml:space="preserve">FTES Decline </t>
  </si>
  <si>
    <t xml:space="preserve">Beginning Balance and Income To Be Allocated -- Unrestricted </t>
  </si>
  <si>
    <t>Growth</t>
  </si>
  <si>
    <t>Decline</t>
  </si>
  <si>
    <t>Stabilization Funds</t>
  </si>
  <si>
    <t>District Office Charge Back Allocations</t>
  </si>
  <si>
    <t>District -wide Costs Charge Back Allocations</t>
  </si>
  <si>
    <t>Regulatory Charge Back Allocations</t>
  </si>
  <si>
    <t>Funded Growth/Decline</t>
  </si>
  <si>
    <t>Kern Community College District Proposed Allocation Model</t>
  </si>
  <si>
    <t>Qualify for State Stabilization Funding</t>
  </si>
  <si>
    <t>Yes/No</t>
  </si>
  <si>
    <t>Allocation Model</t>
  </si>
  <si>
    <t>Net Change</t>
  </si>
  <si>
    <t>New Model</t>
  </si>
  <si>
    <t>Old Model</t>
  </si>
  <si>
    <t>Change</t>
  </si>
  <si>
    <t>College/District Office Mandatory Reserves</t>
  </si>
  <si>
    <t>2005-06  Credit FTES</t>
  </si>
  <si>
    <t>2006-07  Credit FTES</t>
  </si>
  <si>
    <t>2005-06  Non-Credit FTES</t>
  </si>
  <si>
    <t>2006-07  Non-Credit FTES</t>
  </si>
  <si>
    <t>Credit Rate</t>
  </si>
  <si>
    <t>Non- Credit Rate</t>
  </si>
  <si>
    <t>Other Income Changes</t>
  </si>
  <si>
    <t>Total Base Funding Per FTES</t>
  </si>
  <si>
    <t>Percent Change</t>
  </si>
  <si>
    <t>Base Allocation Per FTES (Non-Credit)</t>
  </si>
  <si>
    <t>Base Allocation Per FTES (Credit)</t>
  </si>
  <si>
    <t>Other Change per FTES (Non-Credit)</t>
  </si>
  <si>
    <t>Other Change per FTES (Credit)</t>
  </si>
  <si>
    <t>COLA Allocation per FTES (Non-Credit)</t>
  </si>
  <si>
    <t>COLA Allocation per FTES (Credit)</t>
  </si>
  <si>
    <t>Less FOUNDATION COLA Allocation</t>
  </si>
  <si>
    <t>Base FTES Allocation</t>
  </si>
  <si>
    <t>Percent Change to Base</t>
  </si>
  <si>
    <t>COLA Increase per FTES (Non-Credit)</t>
  </si>
  <si>
    <t>COLA Increase per FTES (Credit)</t>
  </si>
  <si>
    <t xml:space="preserve">Is there an overall allocation decline and is it Year 1 of decline </t>
  </si>
  <si>
    <t>Initial Stabilization</t>
  </si>
  <si>
    <t>2007-08 Allocation</t>
  </si>
  <si>
    <t>2006-07 Allocation</t>
  </si>
  <si>
    <t>Initial Start-up Stabilization</t>
  </si>
  <si>
    <t xml:space="preserve">District-wide Reserves Base </t>
  </si>
  <si>
    <t>FTES Decline Stabilization (impact on reserves)</t>
  </si>
  <si>
    <t>Budget Premises</t>
  </si>
  <si>
    <t>Beginning Balance</t>
  </si>
  <si>
    <t>District Wide Costs Charge Back</t>
  </si>
  <si>
    <t xml:space="preserve">  Weill Center  (Grandfathered)</t>
  </si>
  <si>
    <t xml:space="preserve">     Personnel Advertising</t>
  </si>
  <si>
    <t xml:space="preserve">     District Wide Meetings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</si>
</sst>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&quot;$&quot;* #,##0.000_);_(&quot;$&quot;* \(#,##0.000\);_(&quot;$&quot;* &quot;-&quot;??_);_(@_)"/>
    <numFmt numFmtId="170" formatCode="0;\-0;;@"/>
    <numFmt numFmtId="171" formatCode="0.0%"/>
    <numFmt numFmtId="172" formatCode="_(&quot;$&quot;* #,##0.0000_);_(&quot;$&quot;* \(#,##0.0000\);_(&quot;$&quot;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_(* #,##0.0000000_);_(* \(#,##0.0000000\);_(* &quot;-&quot;??_);_(@_)"/>
    <numFmt numFmtId="177" formatCode="_(* #,##0.0000_);_(* \(#,##0.0000\);_(* &quot;-&quot;????_);_(@_)"/>
  </numFmts>
  <fonts count="3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double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166" fontId="2" fillId="0" borderId="0" xfId="42" applyNumberFormat="1" applyFont="1" applyAlignment="1">
      <alignment/>
    </xf>
    <xf numFmtId="166" fontId="0" fillId="0" borderId="0" xfId="42" applyNumberFormat="1" applyFont="1" applyAlignment="1">
      <alignment/>
    </xf>
    <xf numFmtId="166" fontId="3" fillId="0" borderId="0" xfId="42" applyNumberFormat="1" applyFont="1" applyAlignment="1">
      <alignment/>
    </xf>
    <xf numFmtId="166" fontId="2" fillId="0" borderId="10" xfId="42" applyNumberFormat="1" applyFont="1" applyBorder="1" applyAlignment="1">
      <alignment/>
    </xf>
    <xf numFmtId="166" fontId="3" fillId="0" borderId="0" xfId="42" applyNumberFormat="1" applyFont="1" applyAlignment="1" quotePrefix="1">
      <alignment/>
    </xf>
    <xf numFmtId="166" fontId="3" fillId="24" borderId="0" xfId="42" applyNumberFormat="1" applyFont="1" applyFill="1" applyAlignment="1">
      <alignment/>
    </xf>
    <xf numFmtId="166" fontId="3" fillId="24" borderId="0" xfId="42" applyNumberFormat="1" applyFont="1" applyFill="1" applyAlignment="1" quotePrefix="1">
      <alignment/>
    </xf>
    <xf numFmtId="166" fontId="3" fillId="0" borderId="0" xfId="42" applyNumberFormat="1" applyFont="1" applyAlignment="1">
      <alignment/>
    </xf>
    <xf numFmtId="166" fontId="3" fillId="25" borderId="0" xfId="42" applyNumberFormat="1" applyFont="1" applyFill="1" applyAlignment="1">
      <alignment/>
    </xf>
    <xf numFmtId="166" fontId="2" fillId="0" borderId="0" xfId="42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10" fontId="0" fillId="0" borderId="0" xfId="0" applyNumberFormat="1" applyAlignment="1">
      <alignment horizontal="right" wrapText="1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7" fillId="0" borderId="13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10" fontId="7" fillId="0" borderId="14" xfId="0" applyNumberFormat="1" applyFont="1" applyBorder="1" applyAlignment="1">
      <alignment horizontal="center" wrapText="1"/>
    </xf>
    <xf numFmtId="3" fontId="0" fillId="0" borderId="1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7" fillId="0" borderId="16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10" fontId="7" fillId="0" borderId="17" xfId="0" applyNumberFormat="1" applyFont="1" applyBorder="1" applyAlignment="1">
      <alignment horizontal="center" wrapText="1"/>
    </xf>
    <xf numFmtId="3" fontId="0" fillId="0" borderId="18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9" xfId="0" applyNumberFormat="1" applyBorder="1" applyAlignment="1">
      <alignment/>
    </xf>
    <xf numFmtId="10" fontId="0" fillId="0" borderId="19" xfId="0" applyNumberFormat="1" applyBorder="1" applyAlignment="1">
      <alignment horizontal="right" wrapText="1"/>
    </xf>
    <xf numFmtId="3" fontId="7" fillId="0" borderId="18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21" xfId="59" applyNumberFormat="1" applyFont="1" applyBorder="1" applyAlignment="1">
      <alignment horizontal="right" wrapText="1"/>
    </xf>
    <xf numFmtId="3" fontId="0" fillId="0" borderId="18" xfId="0" applyNumberFormat="1" applyFont="1" applyBorder="1" applyAlignment="1">
      <alignment/>
    </xf>
    <xf numFmtId="170" fontId="0" fillId="0" borderId="0" xfId="0" applyNumberFormat="1" applyFont="1" applyBorder="1" applyAlignment="1">
      <alignment/>
    </xf>
    <xf numFmtId="170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 quotePrefix="1">
      <alignment horizontal="left"/>
    </xf>
    <xf numFmtId="3" fontId="0" fillId="0" borderId="0" xfId="0" applyNumberFormat="1" applyBorder="1" applyAlignment="1" quotePrefix="1">
      <alignment/>
    </xf>
    <xf numFmtId="3" fontId="0" fillId="0" borderId="0" xfId="0" applyNumberFormat="1" applyFill="1" applyAlignment="1">
      <alignment/>
    </xf>
    <xf numFmtId="3" fontId="0" fillId="0" borderId="22" xfId="0" applyNumberFormat="1" applyBorder="1" applyAlignment="1">
      <alignment/>
    </xf>
    <xf numFmtId="3" fontId="0" fillId="0" borderId="0" xfId="0" applyNumberFormat="1" applyFill="1" applyAlignment="1" quotePrefix="1">
      <alignment/>
    </xf>
    <xf numFmtId="3" fontId="0" fillId="0" borderId="18" xfId="0" applyNumberFormat="1" applyFill="1" applyBorder="1" applyAlignment="1">
      <alignment horizontal="center"/>
    </xf>
    <xf numFmtId="3" fontId="0" fillId="0" borderId="22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170" fontId="0" fillId="0" borderId="0" xfId="0" applyNumberFormat="1" applyFill="1" applyAlignment="1" quotePrefix="1">
      <alignment/>
    </xf>
    <xf numFmtId="3" fontId="0" fillId="0" borderId="20" xfId="0" applyNumberFormat="1" applyFill="1" applyBorder="1" applyAlignment="1">
      <alignment/>
    </xf>
    <xf numFmtId="3" fontId="7" fillId="25" borderId="23" xfId="0" applyNumberFormat="1" applyFont="1" applyFill="1" applyBorder="1" applyAlignment="1">
      <alignment/>
    </xf>
    <xf numFmtId="3" fontId="7" fillId="25" borderId="24" xfId="0" applyNumberFormat="1" applyFont="1" applyFill="1" applyBorder="1" applyAlignment="1">
      <alignment/>
    </xf>
    <xf numFmtId="3" fontId="0" fillId="25" borderId="24" xfId="0" applyNumberFormat="1" applyFill="1" applyBorder="1" applyAlignment="1">
      <alignment/>
    </xf>
    <xf numFmtId="3" fontId="0" fillId="25" borderId="25" xfId="0" applyNumberFormat="1" applyFill="1" applyBorder="1" applyAlignment="1">
      <alignment/>
    </xf>
    <xf numFmtId="3" fontId="0" fillId="25" borderId="26" xfId="0" applyNumberFormat="1" applyFill="1" applyBorder="1" applyAlignment="1">
      <alignment/>
    </xf>
    <xf numFmtId="10" fontId="0" fillId="25" borderId="27" xfId="0" applyNumberFormat="1" applyFill="1" applyBorder="1" applyAlignment="1">
      <alignment horizontal="right" wrapText="1"/>
    </xf>
    <xf numFmtId="166" fontId="3" fillId="0" borderId="0" xfId="42" applyNumberFormat="1" applyFont="1" applyFill="1" applyAlignment="1">
      <alignment/>
    </xf>
    <xf numFmtId="166" fontId="3" fillId="0" borderId="28" xfId="42" applyNumberFormat="1" applyFont="1" applyBorder="1" applyAlignment="1">
      <alignment/>
    </xf>
    <xf numFmtId="10" fontId="3" fillId="0" borderId="0" xfId="59" applyNumberFormat="1" applyFont="1" applyAlignment="1">
      <alignment/>
    </xf>
    <xf numFmtId="43" fontId="3" fillId="0" borderId="0" xfId="42" applyNumberFormat="1" applyFont="1" applyAlignment="1">
      <alignment/>
    </xf>
    <xf numFmtId="43" fontId="3" fillId="0" borderId="0" xfId="42" applyNumberFormat="1" applyFont="1" applyAlignment="1">
      <alignment/>
    </xf>
    <xf numFmtId="166" fontId="3" fillId="0" borderId="0" xfId="42" applyNumberFormat="1" applyFont="1" applyAlignment="1">
      <alignment horizontal="center"/>
    </xf>
    <xf numFmtId="43" fontId="3" fillId="0" borderId="28" xfId="42" applyNumberFormat="1" applyFont="1" applyBorder="1" applyAlignment="1">
      <alignment/>
    </xf>
    <xf numFmtId="43" fontId="3" fillId="0" borderId="0" xfId="42" applyNumberFormat="1" applyFont="1" applyFill="1" applyAlignment="1">
      <alignment/>
    </xf>
    <xf numFmtId="0" fontId="2" fillId="0" borderId="10" xfId="0" applyFont="1" applyBorder="1" applyAlignment="1">
      <alignment/>
    </xf>
    <xf numFmtId="44" fontId="3" fillId="0" borderId="0" xfId="44" applyFont="1" applyAlignment="1">
      <alignment/>
    </xf>
    <xf numFmtId="44" fontId="3" fillId="0" borderId="0" xfId="44" applyFont="1" applyAlignment="1">
      <alignment/>
    </xf>
    <xf numFmtId="0" fontId="3" fillId="0" borderId="0" xfId="0" applyFont="1" applyAlignment="1">
      <alignment/>
    </xf>
    <xf numFmtId="10" fontId="3" fillId="0" borderId="0" xfId="59" applyNumberFormat="1" applyFont="1" applyAlignment="1">
      <alignment/>
    </xf>
    <xf numFmtId="166" fontId="2" fillId="0" borderId="10" xfId="42" applyNumberFormat="1" applyFont="1" applyBorder="1" applyAlignment="1" quotePrefix="1">
      <alignment/>
    </xf>
    <xf numFmtId="43" fontId="3" fillId="0" borderId="0" xfId="42" applyFont="1" applyAlignment="1">
      <alignment/>
    </xf>
    <xf numFmtId="44" fontId="3" fillId="0" borderId="28" xfId="44" applyFont="1" applyBorder="1" applyAlignment="1">
      <alignment/>
    </xf>
    <xf numFmtId="166" fontId="7" fillId="0" borderId="0" xfId="42" applyNumberFormat="1" applyFont="1" applyAlignment="1">
      <alignment/>
    </xf>
    <xf numFmtId="166" fontId="0" fillId="0" borderId="10" xfId="42" applyNumberFormat="1" applyFont="1" applyBorder="1" applyAlignment="1">
      <alignment/>
    </xf>
    <xf numFmtId="166" fontId="3" fillId="0" borderId="10" xfId="42" applyNumberFormat="1" applyFont="1" applyBorder="1" applyAlignment="1">
      <alignment/>
    </xf>
    <xf numFmtId="43" fontId="3" fillId="0" borderId="0" xfId="42" applyNumberFormat="1" applyFont="1" applyAlignment="1">
      <alignment horizontal="center"/>
    </xf>
    <xf numFmtId="43" fontId="3" fillId="0" borderId="28" xfId="42" applyNumberFormat="1" applyFont="1" applyBorder="1" applyAlignment="1">
      <alignment/>
    </xf>
    <xf numFmtId="166" fontId="0" fillId="0" borderId="0" xfId="0" applyNumberFormat="1" applyAlignment="1">
      <alignment/>
    </xf>
    <xf numFmtId="0" fontId="2" fillId="0" borderId="29" xfId="0" applyFont="1" applyBorder="1" applyAlignment="1">
      <alignment horizontal="center" wrapText="1"/>
    </xf>
    <xf numFmtId="166" fontId="2" fillId="0" borderId="28" xfId="42" applyNumberFormat="1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20" xfId="0" applyFont="1" applyBorder="1" applyAlignment="1">
      <alignment horizontal="left" wrapText="1"/>
    </xf>
    <xf numFmtId="166" fontId="2" fillId="0" borderId="12" xfId="42" applyNumberFormat="1" applyFont="1" applyBorder="1" applyAlignment="1">
      <alignment horizontal="center" wrapText="1"/>
    </xf>
    <xf numFmtId="166" fontId="2" fillId="0" borderId="3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166" fontId="2" fillId="0" borderId="0" xfId="42" applyNumberFormat="1" applyFont="1" applyBorder="1" applyAlignment="1">
      <alignment horizontal="center" wrapText="1"/>
    </xf>
    <xf numFmtId="166" fontId="2" fillId="0" borderId="22" xfId="0" applyNumberFormat="1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166" fontId="2" fillId="0" borderId="30" xfId="42" applyNumberFormat="1" applyFont="1" applyBorder="1" applyAlignment="1">
      <alignment horizontal="center" wrapText="1"/>
    </xf>
    <xf numFmtId="166" fontId="2" fillId="0" borderId="0" xfId="42" applyNumberFormat="1" applyFont="1" applyAlignment="1">
      <alignment horizontal="center" wrapText="1"/>
    </xf>
    <xf numFmtId="166" fontId="7" fillId="0" borderId="22" xfId="0" applyNumberFormat="1" applyFont="1" applyBorder="1" applyAlignment="1">
      <alignment horizontal="center" wrapText="1"/>
    </xf>
    <xf numFmtId="0" fontId="2" fillId="0" borderId="2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166" fontId="2" fillId="0" borderId="28" xfId="42" applyNumberFormat="1" applyFont="1" applyFill="1" applyBorder="1" applyAlignment="1">
      <alignment/>
    </xf>
    <xf numFmtId="166" fontId="2" fillId="0" borderId="30" xfId="42" applyNumberFormat="1" applyFont="1" applyFill="1" applyBorder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20" xfId="0" applyFont="1" applyBorder="1" applyAlignment="1">
      <alignment/>
    </xf>
    <xf numFmtId="166" fontId="7" fillId="0" borderId="22" xfId="0" applyNumberFormat="1" applyFont="1" applyBorder="1" applyAlignment="1">
      <alignment/>
    </xf>
    <xf numFmtId="0" fontId="7" fillId="0" borderId="20" xfId="0" applyFont="1" applyBorder="1" applyAlignment="1">
      <alignment/>
    </xf>
    <xf numFmtId="166" fontId="7" fillId="0" borderId="31" xfId="0" applyNumberFormat="1" applyFont="1" applyBorder="1" applyAlignment="1">
      <alignment/>
    </xf>
    <xf numFmtId="166" fontId="2" fillId="0" borderId="32" xfId="42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3" fontId="3" fillId="0" borderId="28" xfId="42" applyFont="1" applyBorder="1" applyAlignment="1">
      <alignment/>
    </xf>
    <xf numFmtId="0" fontId="1" fillId="0" borderId="10" xfId="0" applyFont="1" applyBorder="1" applyAlignment="1">
      <alignment/>
    </xf>
    <xf numFmtId="166" fontId="7" fillId="0" borderId="12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6" fontId="3" fillId="24" borderId="0" xfId="42" applyNumberFormat="1" applyFont="1" applyFill="1" applyAlignment="1">
      <alignment/>
    </xf>
    <xf numFmtId="0" fontId="1" fillId="0" borderId="0" xfId="0" applyFont="1" applyFill="1" applyAlignment="1">
      <alignment/>
    </xf>
    <xf numFmtId="166" fontId="3" fillId="0" borderId="10" xfId="42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43" fontId="7" fillId="0" borderId="0" xfId="42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center"/>
    </xf>
    <xf numFmtId="43" fontId="7" fillId="0" borderId="10" xfId="42" applyNumberFormat="1" applyFont="1" applyBorder="1" applyAlignment="1">
      <alignment horizontal="center" wrapText="1"/>
    </xf>
    <xf numFmtId="43" fontId="7" fillId="0" borderId="0" xfId="42" applyNumberFormat="1" applyFont="1" applyAlignment="1">
      <alignment horizontal="center"/>
    </xf>
    <xf numFmtId="43" fontId="8" fillId="0" borderId="0" xfId="42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7" fillId="0" borderId="0" xfId="44" applyNumberFormat="1" applyFont="1" applyAlignment="1">
      <alignment/>
    </xf>
    <xf numFmtId="43" fontId="8" fillId="0" borderId="0" xfId="42" applyNumberFormat="1" applyFont="1" applyAlignment="1">
      <alignment/>
    </xf>
    <xf numFmtId="0" fontId="9" fillId="0" borderId="0" xfId="0" applyFont="1" applyAlignment="1">
      <alignment/>
    </xf>
    <xf numFmtId="43" fontId="7" fillId="0" borderId="0" xfId="42" applyNumberFormat="1" applyFont="1" applyAlignment="1">
      <alignment/>
    </xf>
    <xf numFmtId="10" fontId="7" fillId="0" borderId="0" xfId="59" applyNumberFormat="1" applyFont="1" applyAlignment="1" quotePrefix="1">
      <alignment/>
    </xf>
    <xf numFmtId="166" fontId="7" fillId="0" borderId="0" xfId="42" applyNumberFormat="1" applyFont="1" applyAlignment="1">
      <alignment/>
    </xf>
    <xf numFmtId="10" fontId="7" fillId="0" borderId="0" xfId="59" applyNumberFormat="1" applyFont="1" applyAlignment="1">
      <alignment/>
    </xf>
    <xf numFmtId="0" fontId="7" fillId="0" borderId="0" xfId="0" applyFont="1" applyAlignment="1">
      <alignment horizontal="center"/>
    </xf>
    <xf numFmtId="168" fontId="7" fillId="0" borderId="28" xfId="44" applyNumberFormat="1" applyFont="1" applyBorder="1" applyAlignment="1">
      <alignment/>
    </xf>
    <xf numFmtId="43" fontId="7" fillId="0" borderId="0" xfId="42" applyNumberFormat="1" applyFont="1" applyBorder="1" applyAlignment="1">
      <alignment/>
    </xf>
    <xf numFmtId="166" fontId="7" fillId="0" borderId="0" xfId="42" applyNumberFormat="1" applyFont="1" applyBorder="1" applyAlignment="1">
      <alignment/>
    </xf>
    <xf numFmtId="43" fontId="0" fillId="0" borderId="0" xfId="42" applyNumberFormat="1" applyFont="1" applyAlignment="1">
      <alignment/>
    </xf>
    <xf numFmtId="0" fontId="0" fillId="0" borderId="0" xfId="0" applyAlignment="1">
      <alignment horizontal="left"/>
    </xf>
    <xf numFmtId="0" fontId="0" fillId="26" borderId="0" xfId="0" applyFill="1" applyAlignment="1">
      <alignment horizontal="left"/>
    </xf>
    <xf numFmtId="43" fontId="0" fillId="26" borderId="0" xfId="42" applyNumberFormat="1" applyFont="1" applyFill="1" applyAlignment="1">
      <alignment/>
    </xf>
    <xf numFmtId="166" fontId="7" fillId="0" borderId="10" xfId="42" applyNumberFormat="1" applyFont="1" applyBorder="1" applyAlignment="1">
      <alignment horizontal="center" wrapText="1"/>
    </xf>
    <xf numFmtId="166" fontId="7" fillId="0" borderId="0" xfId="44" applyNumberFormat="1" applyFont="1" applyAlignment="1">
      <alignment/>
    </xf>
    <xf numFmtId="166" fontId="7" fillId="0" borderId="28" xfId="42" applyNumberFormat="1" applyFont="1" applyBorder="1" applyAlignment="1">
      <alignment/>
    </xf>
    <xf numFmtId="166" fontId="7" fillId="0" borderId="12" xfId="42" applyNumberFormat="1" applyFont="1" applyBorder="1" applyAlignment="1">
      <alignment/>
    </xf>
    <xf numFmtId="166" fontId="0" fillId="0" borderId="0" xfId="42" applyNumberFormat="1" applyFont="1" applyAlignment="1">
      <alignment/>
    </xf>
    <xf numFmtId="166" fontId="0" fillId="26" borderId="0" xfId="42" applyNumberFormat="1" applyFont="1" applyFill="1" applyAlignment="1">
      <alignment/>
    </xf>
    <xf numFmtId="0" fontId="10" fillId="0" borderId="0" xfId="0" applyFont="1" applyAlignment="1">
      <alignment/>
    </xf>
    <xf numFmtId="166" fontId="1" fillId="0" borderId="0" xfId="42" applyNumberFormat="1" applyFont="1" applyAlignment="1">
      <alignment/>
    </xf>
    <xf numFmtId="168" fontId="1" fillId="25" borderId="10" xfId="44" applyNumberFormat="1" applyFont="1" applyFill="1" applyBorder="1" applyAlignment="1">
      <alignment/>
    </xf>
    <xf numFmtId="166" fontId="10" fillId="24" borderId="10" xfId="42" applyNumberFormat="1" applyFont="1" applyFill="1" applyBorder="1" applyAlignment="1">
      <alignment/>
    </xf>
    <xf numFmtId="166" fontId="10" fillId="0" borderId="0" xfId="42" applyNumberFormat="1" applyFont="1" applyAlignment="1">
      <alignment/>
    </xf>
    <xf numFmtId="166" fontId="1" fillId="0" borderId="10" xfId="42" applyNumberFormat="1" applyFont="1" applyBorder="1" applyAlignment="1">
      <alignment/>
    </xf>
    <xf numFmtId="166" fontId="1" fillId="24" borderId="0" xfId="42" applyNumberFormat="1" applyFont="1" applyFill="1" applyAlignment="1">
      <alignment/>
    </xf>
    <xf numFmtId="166" fontId="10" fillId="24" borderId="0" xfId="42" applyNumberFormat="1" applyFont="1" applyFill="1" applyAlignment="1">
      <alignment/>
    </xf>
    <xf numFmtId="166" fontId="1" fillId="0" borderId="0" xfId="42" applyNumberFormat="1" applyFont="1" applyBorder="1" applyAlignment="1">
      <alignment/>
    </xf>
    <xf numFmtId="166" fontId="1" fillId="0" borderId="0" xfId="42" applyNumberFormat="1" applyFont="1" applyAlignment="1">
      <alignment horizontal="center"/>
    </xf>
    <xf numFmtId="166" fontId="1" fillId="24" borderId="0" xfId="42" applyNumberFormat="1" applyFont="1" applyFill="1" applyBorder="1" applyAlignment="1">
      <alignment/>
    </xf>
    <xf numFmtId="166" fontId="10" fillId="24" borderId="0" xfId="42" applyNumberFormat="1" applyFont="1" applyFill="1" applyBorder="1" applyAlignment="1">
      <alignment/>
    </xf>
    <xf numFmtId="166" fontId="1" fillId="0" borderId="0" xfId="42" applyNumberFormat="1" applyFont="1" applyFill="1" applyAlignment="1">
      <alignment/>
    </xf>
    <xf numFmtId="166" fontId="10" fillId="0" borderId="0" xfId="42" applyNumberFormat="1" applyFont="1" applyFill="1" applyAlignment="1">
      <alignment/>
    </xf>
    <xf numFmtId="166" fontId="1" fillId="0" borderId="0" xfId="42" applyNumberFormat="1" applyFont="1" applyFill="1" applyAlignment="1" quotePrefix="1">
      <alignment/>
    </xf>
    <xf numFmtId="166" fontId="10" fillId="0" borderId="0" xfId="42" applyNumberFormat="1" applyFont="1" applyFill="1" applyBorder="1" applyAlignment="1">
      <alignment/>
    </xf>
    <xf numFmtId="0" fontId="10" fillId="24" borderId="0" xfId="0" applyFont="1" applyFill="1" applyAlignment="1">
      <alignment/>
    </xf>
    <xf numFmtId="0" fontId="1" fillId="24" borderId="0" xfId="0" applyFont="1" applyFill="1" applyAlignment="1">
      <alignment/>
    </xf>
    <xf numFmtId="166" fontId="1" fillId="25" borderId="28" xfId="42" applyNumberFormat="1" applyFont="1" applyFill="1" applyBorder="1" applyAlignment="1">
      <alignment/>
    </xf>
    <xf numFmtId="166" fontId="1" fillId="0" borderId="0" xfId="42" applyNumberFormat="1" applyFont="1" applyFill="1" applyBorder="1" applyAlignment="1">
      <alignment/>
    </xf>
    <xf numFmtId="166" fontId="10" fillId="0" borderId="10" xfId="42" applyNumberFormat="1" applyFont="1" applyBorder="1" applyAlignment="1">
      <alignment/>
    </xf>
    <xf numFmtId="166" fontId="1" fillId="25" borderId="10" xfId="42" applyNumberFormat="1" applyFont="1" applyFill="1" applyBorder="1" applyAlignment="1">
      <alignment/>
    </xf>
    <xf numFmtId="166" fontId="1" fillId="25" borderId="28" xfId="42" applyNumberFormat="1" applyFont="1" applyFill="1" applyBorder="1" applyAlignment="1">
      <alignment horizontal="center"/>
    </xf>
    <xf numFmtId="168" fontId="1" fillId="0" borderId="0" xfId="44" applyNumberFormat="1" applyFont="1" applyAlignment="1">
      <alignment/>
    </xf>
    <xf numFmtId="168" fontId="1" fillId="25" borderId="28" xfId="44" applyNumberFormat="1" applyFont="1" applyFill="1" applyBorder="1" applyAlignment="1">
      <alignment horizontal="center"/>
    </xf>
    <xf numFmtId="168" fontId="1" fillId="25" borderId="28" xfId="44" applyNumberFormat="1" applyFont="1" applyFill="1" applyBorder="1" applyAlignment="1">
      <alignment/>
    </xf>
    <xf numFmtId="168" fontId="1" fillId="0" borderId="0" xfId="44" applyNumberFormat="1" applyFont="1" applyAlignment="1">
      <alignment horizontal="center"/>
    </xf>
    <xf numFmtId="168" fontId="1" fillId="0" borderId="0" xfId="44" applyNumberFormat="1" applyFont="1" applyBorder="1" applyAlignment="1">
      <alignment/>
    </xf>
    <xf numFmtId="10" fontId="1" fillId="0" borderId="0" xfId="59" applyNumberFormat="1" applyFont="1" applyBorder="1" applyAlignment="1">
      <alignment/>
    </xf>
    <xf numFmtId="166" fontId="10" fillId="0" borderId="0" xfId="42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166" fontId="1" fillId="0" borderId="0" xfId="42" applyNumberFormat="1" applyFont="1" applyFill="1" applyBorder="1" applyAlignment="1">
      <alignment horizontal="left"/>
    </xf>
    <xf numFmtId="166" fontId="0" fillId="0" borderId="0" xfId="42" applyNumberFormat="1" applyFont="1" applyAlignment="1">
      <alignment horizontal="center"/>
    </xf>
    <xf numFmtId="44" fontId="2" fillId="0" borderId="10" xfId="44" applyFont="1" applyBorder="1" applyAlignment="1">
      <alignment/>
    </xf>
    <xf numFmtId="166" fontId="2" fillId="0" borderId="10" xfId="42" applyNumberFormat="1" applyFont="1" applyBorder="1" applyAlignment="1">
      <alignment horizontal="center"/>
    </xf>
    <xf numFmtId="166" fontId="3" fillId="0" borderId="0" xfId="42" applyNumberFormat="1" applyFont="1" applyAlignment="1">
      <alignment horizontal="center"/>
    </xf>
    <xf numFmtId="166" fontId="3" fillId="0" borderId="0" xfId="0" applyNumberFormat="1" applyFont="1" applyBorder="1" applyAlignment="1">
      <alignment/>
    </xf>
    <xf numFmtId="166" fontId="1" fillId="27" borderId="0" xfId="42" applyNumberFormat="1" applyFont="1" applyFill="1" applyAlignment="1">
      <alignment/>
    </xf>
    <xf numFmtId="166" fontId="10" fillId="27" borderId="0" xfId="42" applyNumberFormat="1" applyFont="1" applyFill="1" applyAlignment="1">
      <alignment/>
    </xf>
    <xf numFmtId="166" fontId="7" fillId="0" borderId="0" xfId="42" applyNumberFormat="1" applyFont="1" applyFill="1" applyBorder="1" applyAlignment="1">
      <alignment/>
    </xf>
    <xf numFmtId="44" fontId="0" fillId="0" borderId="0" xfId="44" applyFont="1" applyAlignment="1">
      <alignment/>
    </xf>
    <xf numFmtId="168" fontId="1" fillId="24" borderId="28" xfId="44" applyNumberFormat="1" applyFont="1" applyFill="1" applyBorder="1" applyAlignment="1">
      <alignment/>
    </xf>
    <xf numFmtId="168" fontId="1" fillId="24" borderId="10" xfId="44" applyNumberFormat="1" applyFont="1" applyFill="1" applyBorder="1" applyAlignment="1">
      <alignment/>
    </xf>
    <xf numFmtId="166" fontId="10" fillId="0" borderId="10" xfId="42" applyNumberFormat="1" applyFont="1" applyFill="1" applyBorder="1" applyAlignment="1">
      <alignment/>
    </xf>
    <xf numFmtId="168" fontId="1" fillId="25" borderId="12" xfId="44" applyNumberFormat="1" applyFont="1" applyFill="1" applyBorder="1" applyAlignment="1">
      <alignment/>
    </xf>
    <xf numFmtId="10" fontId="1" fillId="25" borderId="12" xfId="59" applyNumberFormat="1" applyFont="1" applyFill="1" applyBorder="1" applyAlignment="1">
      <alignment/>
    </xf>
    <xf numFmtId="168" fontId="1" fillId="25" borderId="31" xfId="44" applyNumberFormat="1" applyFont="1" applyFill="1" applyBorder="1" applyAlignment="1">
      <alignment/>
    </xf>
    <xf numFmtId="168" fontId="1" fillId="25" borderId="0" xfId="44" applyNumberFormat="1" applyFont="1" applyFill="1" applyBorder="1" applyAlignment="1">
      <alignment/>
    </xf>
    <xf numFmtId="168" fontId="1" fillId="25" borderId="22" xfId="44" applyNumberFormat="1" applyFont="1" applyFill="1" applyBorder="1" applyAlignment="1">
      <alignment/>
    </xf>
    <xf numFmtId="166" fontId="1" fillId="25" borderId="20" xfId="42" applyNumberFormat="1" applyFont="1" applyFill="1" applyBorder="1" applyAlignment="1">
      <alignment/>
    </xf>
    <xf numFmtId="166" fontId="1" fillId="25" borderId="0" xfId="42" applyNumberFormat="1" applyFont="1" applyFill="1" applyBorder="1" applyAlignment="1">
      <alignment/>
    </xf>
    <xf numFmtId="166" fontId="1" fillId="25" borderId="30" xfId="42" applyNumberFormat="1" applyFont="1" applyFill="1" applyBorder="1" applyAlignment="1">
      <alignment/>
    </xf>
    <xf numFmtId="166" fontId="1" fillId="25" borderId="0" xfId="42" applyNumberFormat="1" applyFont="1" applyFill="1" applyBorder="1" applyAlignment="1">
      <alignment horizontal="center"/>
    </xf>
    <xf numFmtId="168" fontId="1" fillId="27" borderId="0" xfId="44" applyNumberFormat="1" applyFont="1" applyFill="1" applyAlignment="1">
      <alignment horizontal="center"/>
    </xf>
    <xf numFmtId="168" fontId="1" fillId="27" borderId="0" xfId="44" applyNumberFormat="1" applyFont="1" applyFill="1" applyAlignment="1">
      <alignment/>
    </xf>
    <xf numFmtId="168" fontId="1" fillId="27" borderId="0" xfId="44" applyNumberFormat="1" applyFont="1" applyFill="1" applyBorder="1" applyAlignment="1">
      <alignment/>
    </xf>
    <xf numFmtId="10" fontId="1" fillId="27" borderId="0" xfId="59" applyNumberFormat="1" applyFont="1" applyFill="1" applyBorder="1" applyAlignment="1">
      <alignment/>
    </xf>
    <xf numFmtId="166" fontId="10" fillId="25" borderId="10" xfId="42" applyNumberFormat="1" applyFont="1" applyFill="1" applyBorder="1" applyAlignment="1">
      <alignment/>
    </xf>
    <xf numFmtId="166" fontId="1" fillId="25" borderId="32" xfId="42" applyNumberFormat="1" applyFont="1" applyFill="1" applyBorder="1" applyAlignment="1">
      <alignment/>
    </xf>
    <xf numFmtId="168" fontId="1" fillId="28" borderId="28" xfId="44" applyNumberFormat="1" applyFont="1" applyFill="1" applyBorder="1" applyAlignment="1">
      <alignment horizontal="center"/>
    </xf>
    <xf numFmtId="168" fontId="1" fillId="28" borderId="28" xfId="44" applyNumberFormat="1" applyFont="1" applyFill="1" applyBorder="1" applyAlignment="1">
      <alignment/>
    </xf>
    <xf numFmtId="168" fontId="1" fillId="0" borderId="0" xfId="44" applyNumberFormat="1" applyFont="1" applyFill="1" applyAlignment="1">
      <alignment/>
    </xf>
    <xf numFmtId="168" fontId="1" fillId="0" borderId="0" xfId="44" applyNumberFormat="1" applyFont="1" applyFill="1" applyBorder="1" applyAlignment="1">
      <alignment horizontal="center"/>
    </xf>
    <xf numFmtId="168" fontId="1" fillId="0" borderId="0" xfId="44" applyNumberFormat="1" applyFont="1" applyFill="1" applyBorder="1" applyAlignment="1">
      <alignment/>
    </xf>
    <xf numFmtId="166" fontId="10" fillId="28" borderId="28" xfId="42" applyNumberFormat="1" applyFont="1" applyFill="1" applyBorder="1" applyAlignment="1">
      <alignment/>
    </xf>
    <xf numFmtId="166" fontId="3" fillId="0" borderId="0" xfId="42" applyNumberFormat="1" applyFont="1" applyBorder="1" applyAlignment="1">
      <alignment horizontal="center"/>
    </xf>
    <xf numFmtId="166" fontId="3" fillId="0" borderId="0" xfId="42" applyNumberFormat="1" applyFont="1" applyBorder="1" applyAlignment="1">
      <alignment/>
    </xf>
    <xf numFmtId="43" fontId="3" fillId="0" borderId="0" xfId="42" applyNumberFormat="1" applyFont="1" applyBorder="1" applyAlignment="1">
      <alignment/>
    </xf>
    <xf numFmtId="166" fontId="0" fillId="0" borderId="0" xfId="42" applyNumberFormat="1" applyFont="1" applyBorder="1" applyAlignment="1">
      <alignment/>
    </xf>
    <xf numFmtId="166" fontId="7" fillId="0" borderId="0" xfId="59" applyNumberFormat="1" applyFont="1" applyAlignment="1">
      <alignment/>
    </xf>
    <xf numFmtId="0" fontId="1" fillId="29" borderId="33" xfId="0" applyFont="1" applyFill="1" applyBorder="1" applyAlignment="1">
      <alignment horizontal="center" wrapText="1"/>
    </xf>
    <xf numFmtId="0" fontId="12" fillId="29" borderId="34" xfId="0" applyFont="1" applyFill="1" applyBorder="1" applyAlignment="1">
      <alignment wrapText="1"/>
    </xf>
    <xf numFmtId="0" fontId="1" fillId="29" borderId="34" xfId="0" applyFont="1" applyFill="1" applyBorder="1" applyAlignment="1">
      <alignment horizontal="center" wrapText="1"/>
    </xf>
    <xf numFmtId="0" fontId="1" fillId="29" borderId="35" xfId="0" applyFont="1" applyFill="1" applyBorder="1" applyAlignment="1">
      <alignment horizontal="center" wrapText="1"/>
    </xf>
    <xf numFmtId="0" fontId="11" fillId="10" borderId="10" xfId="0" applyFont="1" applyFill="1" applyBorder="1" applyAlignment="1">
      <alignment horizontal="center"/>
    </xf>
    <xf numFmtId="0" fontId="10" fillId="24" borderId="10" xfId="0" applyFont="1" applyFill="1" applyBorder="1" applyAlignment="1">
      <alignment/>
    </xf>
    <xf numFmtId="0" fontId="1" fillId="24" borderId="32" xfId="0" applyFont="1" applyFill="1" applyBorder="1" applyAlignment="1">
      <alignment/>
    </xf>
    <xf numFmtId="0" fontId="1" fillId="10" borderId="16" xfId="0" applyFont="1" applyFill="1" applyBorder="1" applyAlignment="1">
      <alignment/>
    </xf>
    <xf numFmtId="0" fontId="1" fillId="10" borderId="10" xfId="0" applyFont="1" applyFill="1" applyBorder="1" applyAlignment="1">
      <alignment/>
    </xf>
    <xf numFmtId="166" fontId="1" fillId="25" borderId="0" xfId="42" applyNumberFormat="1" applyFont="1" applyFill="1" applyBorder="1" applyAlignment="1">
      <alignment horizontal="left"/>
    </xf>
    <xf numFmtId="168" fontId="1" fillId="25" borderId="13" xfId="44" applyNumberFormat="1" applyFont="1" applyFill="1" applyBorder="1" applyAlignment="1">
      <alignment/>
    </xf>
    <xf numFmtId="168" fontId="1" fillId="25" borderId="20" xfId="44" applyNumberFormat="1" applyFont="1" applyFill="1" applyBorder="1" applyAlignment="1">
      <alignment/>
    </xf>
    <xf numFmtId="166" fontId="1" fillId="25" borderId="16" xfId="42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166" fontId="2" fillId="0" borderId="10" xfId="42" applyNumberFormat="1" applyFont="1" applyBorder="1" applyAlignment="1">
      <alignment horizontal="center"/>
    </xf>
    <xf numFmtId="166" fontId="10" fillId="0" borderId="10" xfId="42" applyNumberFormat="1" applyFont="1" applyBorder="1" applyAlignment="1">
      <alignment horizontal="center"/>
    </xf>
    <xf numFmtId="166" fontId="10" fillId="0" borderId="28" xfId="42" applyNumberFormat="1" applyFont="1" applyFill="1" applyBorder="1" applyAlignment="1">
      <alignment/>
    </xf>
    <xf numFmtId="43" fontId="3" fillId="0" borderId="0" xfId="42" applyFont="1" applyBorder="1" applyAlignment="1">
      <alignment/>
    </xf>
    <xf numFmtId="44" fontId="3" fillId="0" borderId="0" xfId="0" applyNumberFormat="1" applyFont="1" applyAlignment="1">
      <alignment/>
    </xf>
    <xf numFmtId="43" fontId="2" fillId="0" borderId="0" xfId="42" applyFont="1" applyAlignment="1">
      <alignment/>
    </xf>
    <xf numFmtId="166" fontId="3" fillId="0" borderId="28" xfId="0" applyNumberFormat="1" applyFont="1" applyBorder="1" applyAlignment="1">
      <alignment/>
    </xf>
    <xf numFmtId="43" fontId="3" fillId="0" borderId="0" xfId="0" applyNumberFormat="1" applyFont="1" applyAlignment="1">
      <alignment/>
    </xf>
    <xf numFmtId="43" fontId="0" fillId="0" borderId="0" xfId="42" applyFont="1" applyAlignment="1">
      <alignment/>
    </xf>
    <xf numFmtId="43" fontId="7" fillId="0" borderId="34" xfId="42" applyFont="1" applyFill="1" applyBorder="1" applyAlignment="1">
      <alignment horizontal="center" wrapText="1"/>
    </xf>
    <xf numFmtId="166" fontId="10" fillId="15" borderId="0" xfId="42" applyNumberFormat="1" applyFont="1" applyFill="1" applyBorder="1" applyAlignment="1">
      <alignment/>
    </xf>
    <xf numFmtId="43" fontId="3" fillId="15" borderId="0" xfId="42" applyFont="1" applyFill="1" applyAlignment="1">
      <alignment/>
    </xf>
    <xf numFmtId="0" fontId="1" fillId="0" borderId="0" xfId="0" applyFont="1" applyAlignment="1">
      <alignment horizontal="left"/>
    </xf>
    <xf numFmtId="3" fontId="0" fillId="0" borderId="0" xfId="0" applyNumberFormat="1" applyFont="1" applyFill="1" applyBorder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s\FY%2006-07\Adopted%20Budget%20FY06-07\Allocations\2006-07%20Adopted%20Budget%20Allocation%20Scen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s\FY%2006-07\Adopted%20Budget%20FY06-07\DO%20Labor%20FY06-07\06-07%20DO%20Labor\DO_FY2006-07%20Bud%20by%20Org%20Budg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burke\Local%20Settings\Temporary%20Internet%20Files\OLK5\SB%20361%20Like%20Model%20Marissa%20Option%20version%2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candela\Local%20Settings\Temporary%20Internet%20Files\OLK2\BAM%20Allocation%20Scenarios\SB%20361%20Like%20Model%20#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oc Scenario (2)"/>
      <sheetName val="Proforma w - COLA"/>
      <sheetName val="Budget Comparison"/>
      <sheetName val="Adopted vs Tentative"/>
      <sheetName val="320 Annual Results"/>
      <sheetName val="COLA &amp; Grrowth"/>
      <sheetName val="2006-07 FTES Target"/>
    </sheetNames>
    <sheetDataSet>
      <sheetData sheetId="0">
        <row r="49">
          <cell r="B49">
            <v>46899465.299691774</v>
          </cell>
          <cell r="C49">
            <v>14147547.897234688</v>
          </cell>
          <cell r="D49">
            <v>13253725.079102485</v>
          </cell>
          <cell r="G49">
            <v>7378237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binet Sum"/>
      <sheetName val="DW Exp"/>
      <sheetName val="Cent Svs"/>
      <sheetName val="Chancellor"/>
      <sheetName val="Bus Sv Dis All"/>
      <sheetName val="Bus Svc"/>
      <sheetName val="Educ "/>
      <sheetName val="HR"/>
      <sheetName val="IT Summary"/>
      <sheetName val="IT Adm"/>
      <sheetName val="IT_Infr"/>
      <sheetName val="FY06-07 Labor "/>
      <sheetName val="FY 06-07 Labor Var Analysis"/>
      <sheetName val="FY06-07 Labor by Account"/>
      <sheetName val="FY05-06 Labor"/>
      <sheetName val="FY05-06 BY ACCOUNT"/>
      <sheetName val="FY 04-05 Labor"/>
      <sheetName val="FY 04-05 BY ACCOUNT"/>
      <sheetName val="Non labor summary"/>
      <sheetName val="SSB Income"/>
      <sheetName val="SSB Upload Non-Labor"/>
      <sheetName val="SSB Upload_Labor SalBud#1"/>
      <sheetName val="SSB LabDist #2"/>
      <sheetName val="SSB Beneifts #3"/>
    </sheetNames>
    <sheetDataSet>
      <sheetData sheetId="7">
        <row r="18">
          <cell r="F1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 Allocations"/>
      <sheetName val="Budget Premisis"/>
      <sheetName val="Income to be Allocated"/>
      <sheetName val="Apportionment"/>
      <sheetName val="Foundation Calculations"/>
      <sheetName val="Districtwide Costs"/>
      <sheetName val="FTFO Factor"/>
      <sheetName val="Base FTES Allocations"/>
      <sheetName val="FTES COLA Allocation"/>
      <sheetName val="FTES Growth Allocations"/>
      <sheetName val="FTES Decline Mechanism"/>
      <sheetName val="Other Income  Inc -Decline "/>
    </sheetNames>
    <sheetDataSet>
      <sheetData sheetId="2">
        <row r="19">
          <cell r="C19">
            <v>4428175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 Allocations"/>
      <sheetName val="Budget Premisis"/>
      <sheetName val="Income to be Allocated"/>
      <sheetName val="Foundation Calculations"/>
      <sheetName val="Districtwide Costs"/>
      <sheetName val="Base FTES Allocations"/>
      <sheetName val="FTES COLA Allocation"/>
      <sheetName val="FTES Growth Allocations"/>
      <sheetName val="FTES Decline Mechanism"/>
      <sheetName val="Other Income  Inc -Decline "/>
    </sheetNames>
    <sheetDataSet>
      <sheetData sheetId="5">
        <row r="10">
          <cell r="B10">
            <v>11548.65</v>
          </cell>
          <cell r="C10">
            <v>2874.05</v>
          </cell>
          <cell r="D10">
            <v>2961.71</v>
          </cell>
        </row>
        <row r="11">
          <cell r="B11">
            <v>48.339999999999996</v>
          </cell>
          <cell r="C11">
            <v>188.97</v>
          </cell>
          <cell r="D11">
            <v>65.66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1"/>
  <sheetViews>
    <sheetView tabSelected="1" zoomScale="75" zoomScaleNormal="75" zoomScalePageLayoutView="0" workbookViewId="0" topLeftCell="A1">
      <pane xSplit="2" ySplit="2" topLeftCell="C4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70" sqref="B70"/>
    </sheetView>
  </sheetViews>
  <sheetFormatPr defaultColWidth="9.140625" defaultRowHeight="12.75"/>
  <cols>
    <col min="1" max="1" width="12.57421875" style="1" customWidth="1"/>
    <col min="2" max="2" width="89.8515625" style="151" customWidth="1"/>
    <col min="3" max="3" width="19.28125" style="151" customWidth="1"/>
    <col min="4" max="10" width="19.8515625" style="151" customWidth="1"/>
    <col min="11" max="11" width="18.7109375" style="1" customWidth="1"/>
    <col min="12" max="13" width="18.7109375" style="151" hidden="1" customWidth="1"/>
    <col min="14" max="14" width="23.140625" style="151" hidden="1" customWidth="1"/>
    <col min="15" max="15" width="19.00390625" style="151" hidden="1" customWidth="1"/>
    <col min="16" max="16384" width="9.140625" style="151" customWidth="1"/>
  </cols>
  <sheetData>
    <row r="1" ht="18.75" thickBot="1"/>
    <row r="2" spans="1:11" s="5" customFormat="1" ht="105.75" customHeight="1" thickBot="1" thickTop="1">
      <c r="A2" s="221"/>
      <c r="B2" s="222" t="s">
        <v>191</v>
      </c>
      <c r="C2" s="223" t="s">
        <v>62</v>
      </c>
      <c r="D2" s="223" t="s">
        <v>2</v>
      </c>
      <c r="E2" s="223" t="s">
        <v>3</v>
      </c>
      <c r="F2" s="223" t="s">
        <v>4</v>
      </c>
      <c r="G2" s="223" t="s">
        <v>167</v>
      </c>
      <c r="H2" s="223" t="s">
        <v>179</v>
      </c>
      <c r="I2" s="223" t="s">
        <v>168</v>
      </c>
      <c r="J2" s="223" t="s">
        <v>172</v>
      </c>
      <c r="K2" s="224" t="s">
        <v>5</v>
      </c>
    </row>
    <row r="3" ht="18.75" thickTop="1">
      <c r="B3" s="116"/>
    </row>
    <row r="4" spans="1:11" ht="24" thickBot="1">
      <c r="A4" s="229"/>
      <c r="B4" s="225" t="s">
        <v>145</v>
      </c>
      <c r="C4" s="167"/>
      <c r="D4" s="167"/>
      <c r="E4" s="167"/>
      <c r="F4" s="167"/>
      <c r="G4" s="167"/>
      <c r="H4" s="167"/>
      <c r="I4" s="167"/>
      <c r="J4" s="167"/>
      <c r="K4" s="168"/>
    </row>
    <row r="5" spans="1:11" s="155" customFormat="1" ht="18.75" thickBot="1">
      <c r="A5" s="152"/>
      <c r="B5" s="156" t="s">
        <v>141</v>
      </c>
      <c r="C5" s="157"/>
      <c r="D5" s="158"/>
      <c r="E5" s="158"/>
      <c r="F5" s="158"/>
      <c r="G5" s="158"/>
      <c r="H5" s="158"/>
      <c r="I5" s="158"/>
      <c r="J5" s="158"/>
      <c r="K5" s="157"/>
    </row>
    <row r="6" spans="1:11" s="155" customFormat="1" ht="18">
      <c r="A6" s="152" t="s">
        <v>121</v>
      </c>
      <c r="B6" s="159" t="s">
        <v>225</v>
      </c>
      <c r="C6" s="157"/>
      <c r="D6" s="158"/>
      <c r="E6" s="158"/>
      <c r="F6" s="158"/>
      <c r="G6" s="158"/>
      <c r="H6" s="158"/>
      <c r="I6" s="158"/>
      <c r="J6" s="155">
        <f>+'[1]Alloc Scenario (2)'!$G$49</f>
        <v>7378237</v>
      </c>
      <c r="K6" s="152">
        <f>SUM(D6:J6)</f>
        <v>7378237</v>
      </c>
    </row>
    <row r="7" spans="1:11" s="155" customFormat="1" ht="18">
      <c r="A7" s="152" t="s">
        <v>121</v>
      </c>
      <c r="B7" s="159" t="s">
        <v>199</v>
      </c>
      <c r="C7" s="157"/>
      <c r="D7" s="164">
        <v>0</v>
      </c>
      <c r="E7" s="164">
        <v>0</v>
      </c>
      <c r="F7" s="164">
        <v>0</v>
      </c>
      <c r="G7" s="164">
        <v>0</v>
      </c>
      <c r="H7" s="158"/>
      <c r="I7" s="158"/>
      <c r="J7" s="158"/>
      <c r="K7" s="152">
        <f>SUM(D7:J7)</f>
        <v>0</v>
      </c>
    </row>
    <row r="8" spans="1:11" s="155" customFormat="1" ht="18.75" thickBot="1">
      <c r="A8" s="152" t="s">
        <v>121</v>
      </c>
      <c r="B8" s="159" t="s">
        <v>140</v>
      </c>
      <c r="C8" s="157"/>
      <c r="D8" s="164">
        <v>0</v>
      </c>
      <c r="E8" s="164">
        <v>0</v>
      </c>
      <c r="F8" s="164">
        <v>0</v>
      </c>
      <c r="G8" s="158"/>
      <c r="H8" s="158"/>
      <c r="I8" s="158"/>
      <c r="J8" s="158"/>
      <c r="K8" s="152">
        <f>SUM(D8:J8)</f>
        <v>0</v>
      </c>
    </row>
    <row r="9" spans="2:11" s="152" customFormat="1" ht="18.75" thickBot="1">
      <c r="B9" s="173" t="s">
        <v>72</v>
      </c>
      <c r="C9" s="169"/>
      <c r="D9" s="169">
        <f>SUM(D6:D8)</f>
        <v>0</v>
      </c>
      <c r="E9" s="169">
        <f aca="true" t="shared" si="0" ref="E9:J9">SUM(E6:E8)</f>
        <v>0</v>
      </c>
      <c r="F9" s="169">
        <f t="shared" si="0"/>
        <v>0</v>
      </c>
      <c r="G9" s="169">
        <f>SUM(G6:G8)</f>
        <v>0</v>
      </c>
      <c r="H9" s="169">
        <f>SUM(H6:H8)</f>
        <v>0</v>
      </c>
      <c r="I9" s="169">
        <f>SUM(I6:I8)</f>
        <v>0</v>
      </c>
      <c r="J9" s="169">
        <f t="shared" si="0"/>
        <v>7378237</v>
      </c>
      <c r="K9" s="169">
        <f>SUM(K6:K8)</f>
        <v>7378237</v>
      </c>
    </row>
    <row r="10" spans="2:11" ht="18.75" thickBot="1">
      <c r="B10" s="181"/>
      <c r="C10" s="167"/>
      <c r="D10" s="167"/>
      <c r="E10" s="167"/>
      <c r="F10" s="167"/>
      <c r="G10" s="167"/>
      <c r="H10" s="167"/>
      <c r="I10" s="167"/>
      <c r="J10" s="167"/>
      <c r="K10" s="168"/>
    </row>
    <row r="11" spans="1:11" s="155" customFormat="1" ht="18.75" thickBot="1">
      <c r="A11" s="152" t="s">
        <v>122</v>
      </c>
      <c r="B11" s="173" t="s">
        <v>144</v>
      </c>
      <c r="C11" s="176">
        <f>+'Income to be Allocated'!B22</f>
        <v>91971388.99000001</v>
      </c>
      <c r="D11" s="154"/>
      <c r="E11" s="154"/>
      <c r="F11" s="154"/>
      <c r="G11" s="154"/>
      <c r="H11" s="154"/>
      <c r="I11" s="154"/>
      <c r="J11" s="154"/>
      <c r="K11" s="153">
        <f>SUM(C11:J11)</f>
        <v>91971388.99000001</v>
      </c>
    </row>
    <row r="12" spans="1:11" s="164" customFormat="1" ht="18.75" thickBot="1">
      <c r="A12" s="163"/>
      <c r="B12" s="182"/>
      <c r="C12" s="192"/>
      <c r="D12" s="154"/>
      <c r="E12" s="154"/>
      <c r="F12" s="154"/>
      <c r="G12" s="154"/>
      <c r="H12" s="154"/>
      <c r="I12" s="154"/>
      <c r="J12" s="154"/>
      <c r="K12" s="193"/>
    </row>
    <row r="13" spans="1:11" s="155" customFormat="1" ht="18.75" thickBot="1">
      <c r="A13" s="152"/>
      <c r="B13" s="173" t="s">
        <v>146</v>
      </c>
      <c r="C13" s="169">
        <f>+C11+C9</f>
        <v>91971388.99000001</v>
      </c>
      <c r="D13" s="169">
        <f aca="true" t="shared" si="1" ref="D13:K13">+D11+D9</f>
        <v>0</v>
      </c>
      <c r="E13" s="169">
        <f t="shared" si="1"/>
        <v>0</v>
      </c>
      <c r="F13" s="169">
        <f t="shared" si="1"/>
        <v>0</v>
      </c>
      <c r="G13" s="169">
        <f t="shared" si="1"/>
        <v>0</v>
      </c>
      <c r="H13" s="169">
        <f t="shared" si="1"/>
        <v>0</v>
      </c>
      <c r="I13" s="169">
        <f t="shared" si="1"/>
        <v>0</v>
      </c>
      <c r="J13" s="169">
        <f t="shared" si="1"/>
        <v>7378237</v>
      </c>
      <c r="K13" s="169">
        <f t="shared" si="1"/>
        <v>99349625.99000001</v>
      </c>
    </row>
    <row r="14" spans="1:11" s="155" customFormat="1" ht="18">
      <c r="A14" s="188"/>
      <c r="B14" s="188"/>
      <c r="C14" s="188"/>
      <c r="D14" s="189"/>
      <c r="E14" s="189"/>
      <c r="F14" s="189"/>
      <c r="G14" s="189"/>
      <c r="H14" s="189"/>
      <c r="I14" s="189"/>
      <c r="J14" s="189"/>
      <c r="K14" s="188"/>
    </row>
    <row r="15" spans="1:11" s="155" customFormat="1" ht="37.5" customHeight="1">
      <c r="A15" s="188"/>
      <c r="B15" s="189"/>
      <c r="C15" s="188"/>
      <c r="D15" s="189"/>
      <c r="E15" s="189"/>
      <c r="F15" s="189"/>
      <c r="G15" s="189"/>
      <c r="H15" s="189"/>
      <c r="I15" s="189"/>
      <c r="J15" s="189"/>
      <c r="K15" s="188"/>
    </row>
    <row r="16" spans="1:11" s="166" customFormat="1" ht="22.5" customHeight="1">
      <c r="A16" s="170"/>
      <c r="C16" s="170"/>
      <c r="K16" s="170"/>
    </row>
    <row r="17" spans="1:11" ht="24" thickBot="1">
      <c r="A17" s="228"/>
      <c r="B17" s="225" t="s">
        <v>178</v>
      </c>
      <c r="C17" s="226"/>
      <c r="D17" s="226"/>
      <c r="E17" s="226"/>
      <c r="F17" s="226"/>
      <c r="G17" s="226"/>
      <c r="H17" s="226"/>
      <c r="I17" s="226"/>
      <c r="J17" s="226"/>
      <c r="K17" s="227"/>
    </row>
    <row r="18" spans="1:11" s="155" customFormat="1" ht="18.75" thickBot="1">
      <c r="A18" s="152"/>
      <c r="B18" s="156" t="s">
        <v>117</v>
      </c>
      <c r="C18" s="157"/>
      <c r="D18" s="158"/>
      <c r="E18" s="158"/>
      <c r="F18" s="158"/>
      <c r="G18" s="158"/>
      <c r="H18" s="158"/>
      <c r="I18" s="158"/>
      <c r="J18" s="158"/>
      <c r="K18" s="157"/>
    </row>
    <row r="19" spans="1:11" s="155" customFormat="1" ht="18.75" thickBot="1">
      <c r="A19" s="152" t="s">
        <v>123</v>
      </c>
      <c r="B19" s="152" t="s">
        <v>135</v>
      </c>
      <c r="C19" s="158"/>
      <c r="D19" s="171">
        <f>SUM('Foundation Calculations'!E8:E10)</f>
        <v>4766400</v>
      </c>
      <c r="E19" s="171">
        <f>SUM('Foundation Calculations'!E12:E15)</f>
        <v>4236800</v>
      </c>
      <c r="F19" s="171">
        <f>SUM('Foundation Calculations'!E17)</f>
        <v>3177599.9999999995</v>
      </c>
      <c r="G19" s="154"/>
      <c r="H19" s="154"/>
      <c r="I19" s="154"/>
      <c r="J19" s="154"/>
      <c r="K19" s="156">
        <f>SUM(D19:J19)</f>
        <v>12180800</v>
      </c>
    </row>
    <row r="20" spans="1:11" s="155" customFormat="1" ht="18">
      <c r="A20" s="152"/>
      <c r="B20" s="152"/>
      <c r="C20" s="158"/>
      <c r="D20" s="158"/>
      <c r="E20" s="158"/>
      <c r="F20" s="158"/>
      <c r="G20" s="158"/>
      <c r="H20" s="158"/>
      <c r="I20" s="158"/>
      <c r="J20" s="158"/>
      <c r="K20" s="157"/>
    </row>
    <row r="21" spans="1:11" s="155" customFormat="1" ht="18.75" thickBot="1">
      <c r="A21" s="152"/>
      <c r="B21" s="156" t="s">
        <v>142</v>
      </c>
      <c r="C21" s="162"/>
      <c r="D21" s="158"/>
      <c r="E21" s="158"/>
      <c r="F21" s="158"/>
      <c r="G21" s="158"/>
      <c r="H21" s="158"/>
      <c r="I21" s="158"/>
      <c r="J21" s="158"/>
      <c r="K21" s="157"/>
    </row>
    <row r="22" spans="1:11" s="155" customFormat="1" ht="18">
      <c r="A22" s="152" t="s">
        <v>124</v>
      </c>
      <c r="B22" s="163" t="s">
        <v>134</v>
      </c>
      <c r="C22" s="162"/>
      <c r="D22" s="164">
        <f>+'Foundation Calculations'!G8+'Foundation Calculations'!G9+'Foundation Calculations'!G10</f>
        <v>0</v>
      </c>
      <c r="E22" s="164">
        <f>+'Foundation Calculations'!G12+'Foundation Calculations'!G13+'Foundation Calculations'!G14+'Foundation Calculations'!G15</f>
        <v>0</v>
      </c>
      <c r="F22" s="164">
        <f>+'Foundation Calculations'!G17</f>
        <v>0</v>
      </c>
      <c r="G22" s="158"/>
      <c r="H22" s="158"/>
      <c r="I22" s="158"/>
      <c r="J22" s="158"/>
      <c r="K22" s="159">
        <f>SUM(C22:J22)</f>
        <v>0</v>
      </c>
    </row>
    <row r="23" spans="1:11" s="155" customFormat="1" ht="18">
      <c r="A23" s="152"/>
      <c r="B23" s="163"/>
      <c r="C23" s="162"/>
      <c r="D23" s="158"/>
      <c r="E23" s="158"/>
      <c r="F23" s="158"/>
      <c r="G23" s="158"/>
      <c r="H23" s="158"/>
      <c r="I23" s="158"/>
      <c r="J23" s="158"/>
      <c r="K23" s="161"/>
    </row>
    <row r="24" spans="1:11" s="164" customFormat="1" ht="18">
      <c r="A24" s="163" t="s">
        <v>125</v>
      </c>
      <c r="B24" s="152" t="s">
        <v>132</v>
      </c>
      <c r="C24" s="162"/>
      <c r="D24" s="245">
        <f>+'Initial Stabilization'!B12</f>
        <v>161757.57659270614</v>
      </c>
      <c r="E24" s="245">
        <f>+'Initial Stabilization'!C12</f>
        <v>0</v>
      </c>
      <c r="F24" s="245">
        <f>+'Initial Stabilization'!D12</f>
        <v>0</v>
      </c>
      <c r="G24" s="162"/>
      <c r="H24" s="162"/>
      <c r="I24" s="162"/>
      <c r="J24" s="166">
        <v>-161757</v>
      </c>
      <c r="K24" s="159">
        <f>SUM(C24:J24)</f>
        <v>0.576592706143856</v>
      </c>
    </row>
    <row r="25" spans="1:11" s="155" customFormat="1" ht="18.75" thickBot="1">
      <c r="A25" s="152"/>
      <c r="B25" s="152"/>
      <c r="C25" s="162"/>
      <c r="D25" s="158"/>
      <c r="E25" s="158"/>
      <c r="F25" s="158"/>
      <c r="G25" s="158"/>
      <c r="H25" s="158"/>
      <c r="I25" s="158"/>
      <c r="J25" s="158"/>
      <c r="K25" s="161"/>
    </row>
    <row r="26" spans="1:11" s="152" customFormat="1" ht="18.75" thickBot="1">
      <c r="A26" s="169"/>
      <c r="B26" s="173" t="s">
        <v>147</v>
      </c>
      <c r="C26" s="161"/>
      <c r="D26" s="169">
        <f>SUM(D19:D25)</f>
        <v>4928157.576592706</v>
      </c>
      <c r="E26" s="169">
        <f aca="true" t="shared" si="2" ref="E26:K26">SUM(E19:E25)</f>
        <v>4236800</v>
      </c>
      <c r="F26" s="169">
        <f t="shared" si="2"/>
        <v>3177599.9999999995</v>
      </c>
      <c r="G26" s="169">
        <f>SUM(G19:G25)</f>
        <v>0</v>
      </c>
      <c r="H26" s="169">
        <f>SUM(H19:H25)</f>
        <v>0</v>
      </c>
      <c r="I26" s="169">
        <f>SUM(I19:I25)</f>
        <v>0</v>
      </c>
      <c r="J26" s="169">
        <f t="shared" si="2"/>
        <v>-161757</v>
      </c>
      <c r="K26" s="169">
        <f t="shared" si="2"/>
        <v>12180800.576592706</v>
      </c>
    </row>
    <row r="27" spans="1:11" s="155" customFormat="1" ht="18">
      <c r="A27" s="152"/>
      <c r="C27" s="162"/>
      <c r="D27" s="158"/>
      <c r="E27" s="158"/>
      <c r="F27" s="158"/>
      <c r="G27" s="158"/>
      <c r="H27" s="158"/>
      <c r="I27" s="158"/>
      <c r="J27" s="158"/>
      <c r="K27" s="157"/>
    </row>
    <row r="28" spans="1:11" s="166" customFormat="1" ht="18">
      <c r="A28" s="170"/>
      <c r="C28" s="162"/>
      <c r="D28" s="162"/>
      <c r="E28" s="162"/>
      <c r="F28" s="162"/>
      <c r="G28" s="162"/>
      <c r="H28" s="162"/>
      <c r="I28" s="162"/>
      <c r="J28" s="162"/>
      <c r="K28" s="161"/>
    </row>
    <row r="29" spans="1:14" s="155" customFormat="1" ht="18.75" thickBot="1">
      <c r="A29" s="152" t="s">
        <v>126</v>
      </c>
      <c r="B29" s="156" t="s">
        <v>118</v>
      </c>
      <c r="C29" s="162"/>
      <c r="D29" s="171">
        <f>+'Base FTES Allocations'!B20+'Base FTES Allocations'!B21</f>
        <v>52604159.716413446</v>
      </c>
      <c r="E29" s="171">
        <f>+'Base FTES Allocations'!C20+'Base FTES Allocations'!C21</f>
        <v>13555956.565071162</v>
      </c>
      <c r="F29" s="171">
        <f>+'Base FTES Allocations'!D20+'Base FTES Allocations'!D21</f>
        <v>13630472.708515408</v>
      </c>
      <c r="G29" s="154"/>
      <c r="H29" s="154"/>
      <c r="I29" s="154"/>
      <c r="J29" s="154"/>
      <c r="K29" s="156">
        <f>SUM(D29:J29)</f>
        <v>79790588.99000001</v>
      </c>
      <c r="N29" s="155">
        <f>+L29-M29</f>
        <v>0</v>
      </c>
    </row>
    <row r="30" spans="1:11" s="155" customFormat="1" ht="18">
      <c r="A30" s="152"/>
      <c r="C30" s="162"/>
      <c r="D30" s="158"/>
      <c r="E30" s="158"/>
      <c r="F30" s="158"/>
      <c r="G30" s="158"/>
      <c r="H30" s="158"/>
      <c r="I30" s="158"/>
      <c r="J30" s="158"/>
      <c r="K30" s="157"/>
    </row>
    <row r="31" spans="1:15" s="155" customFormat="1" ht="18.75" thickBot="1">
      <c r="A31" s="152"/>
      <c r="B31" s="156" t="s">
        <v>119</v>
      </c>
      <c r="C31" s="162"/>
      <c r="D31" s="158"/>
      <c r="E31" s="158"/>
      <c r="F31" s="158"/>
      <c r="G31" s="158"/>
      <c r="H31" s="158"/>
      <c r="I31" s="158"/>
      <c r="J31" s="158"/>
      <c r="K31" s="157"/>
      <c r="M31" s="236" t="s">
        <v>196</v>
      </c>
      <c r="N31" s="236" t="s">
        <v>197</v>
      </c>
      <c r="O31" s="236" t="s">
        <v>198</v>
      </c>
    </row>
    <row r="32" spans="1:15" s="155" customFormat="1" ht="18">
      <c r="A32" s="152" t="s">
        <v>127</v>
      </c>
      <c r="B32" s="152" t="s">
        <v>61</v>
      </c>
      <c r="C32" s="162"/>
      <c r="D32" s="180">
        <f>SUM('FTES COLA Allocation'!C23:C24)</f>
        <v>0</v>
      </c>
      <c r="E32" s="180">
        <f>SUM('FTES COLA Allocation'!D23:D24)</f>
        <v>0</v>
      </c>
      <c r="F32" s="180">
        <f>SUM('FTES COLA Allocation'!E23:E24)</f>
        <v>0</v>
      </c>
      <c r="G32" s="162"/>
      <c r="H32" s="162"/>
      <c r="I32" s="162"/>
      <c r="J32" s="162"/>
      <c r="K32" s="159">
        <f>SUM(C32:J32)</f>
        <v>0</v>
      </c>
      <c r="L32" s="155" t="s">
        <v>61</v>
      </c>
      <c r="M32" s="155">
        <f>+K32+K22</f>
        <v>0</v>
      </c>
      <c r="N32" s="155">
        <f>573215+2146990</f>
        <v>2720205</v>
      </c>
      <c r="O32" s="155">
        <f>+M32-N32</f>
        <v>-2720205</v>
      </c>
    </row>
    <row r="33" spans="1:11" s="155" customFormat="1" ht="18">
      <c r="A33" s="163"/>
      <c r="B33" s="163"/>
      <c r="C33" s="162"/>
      <c r="D33" s="158"/>
      <c r="E33" s="158"/>
      <c r="F33" s="158"/>
      <c r="G33" s="158"/>
      <c r="H33" s="158"/>
      <c r="I33" s="158"/>
      <c r="J33" s="158"/>
      <c r="K33" s="157"/>
    </row>
    <row r="34" spans="1:15" s="155" customFormat="1" ht="18">
      <c r="A34" s="152" t="s">
        <v>128</v>
      </c>
      <c r="B34" s="152" t="s">
        <v>120</v>
      </c>
      <c r="C34" s="162"/>
      <c r="D34" s="180">
        <f>+'FTES Growth Allocations'!B29</f>
        <v>0</v>
      </c>
      <c r="E34" s="180">
        <f>+'FTES Growth Allocations'!C29</f>
        <v>0</v>
      </c>
      <c r="F34" s="180">
        <f>+'FTES Growth Allocations'!D29</f>
        <v>0</v>
      </c>
      <c r="G34" s="162"/>
      <c r="H34" s="162"/>
      <c r="I34" s="162"/>
      <c r="J34" s="162"/>
      <c r="K34" s="159">
        <f>SUM(D34:J34)</f>
        <v>0</v>
      </c>
      <c r="L34" s="155" t="s">
        <v>184</v>
      </c>
      <c r="M34" s="155">
        <v>2761968</v>
      </c>
      <c r="N34" s="155">
        <v>2780323</v>
      </c>
      <c r="O34" s="155">
        <f>+M34-N34</f>
        <v>-18355</v>
      </c>
    </row>
    <row r="35" spans="1:11" s="155" customFormat="1" ht="18">
      <c r="A35" s="163"/>
      <c r="B35" s="163"/>
      <c r="C35" s="162"/>
      <c r="D35" s="158"/>
      <c r="E35" s="158"/>
      <c r="F35" s="158"/>
      <c r="G35" s="158"/>
      <c r="H35" s="158"/>
      <c r="I35" s="158"/>
      <c r="J35" s="158"/>
      <c r="K35" s="157"/>
    </row>
    <row r="36" spans="1:15" s="155" customFormat="1" ht="18">
      <c r="A36" s="152" t="s">
        <v>129</v>
      </c>
      <c r="B36" s="152" t="s">
        <v>182</v>
      </c>
      <c r="C36" s="162"/>
      <c r="D36" s="180">
        <f>+'FTES Decline Mechanism'!B30</f>
        <v>0</v>
      </c>
      <c r="E36" s="180">
        <f>+'FTES Decline Mechanism'!C30</f>
        <v>0</v>
      </c>
      <c r="F36" s="180">
        <f>+'FTES Decline Mechanism'!D30</f>
        <v>0</v>
      </c>
      <c r="G36" s="162"/>
      <c r="H36" s="162"/>
      <c r="I36" s="162"/>
      <c r="J36" s="162"/>
      <c r="K36" s="159">
        <f>SUM(D36:J36)</f>
        <v>0</v>
      </c>
      <c r="L36" s="155" t="s">
        <v>185</v>
      </c>
      <c r="M36" s="155">
        <v>-124681</v>
      </c>
      <c r="N36" s="155">
        <v>-125510</v>
      </c>
      <c r="O36" s="155">
        <f>+M36-N36</f>
        <v>829</v>
      </c>
    </row>
    <row r="37" spans="1:11" s="164" customFormat="1" ht="18.75" thickBot="1">
      <c r="A37" s="152" t="s">
        <v>129</v>
      </c>
      <c r="B37" s="163" t="s">
        <v>226</v>
      </c>
      <c r="C37" s="162"/>
      <c r="D37" s="164">
        <f>IF('FTES Decline Mechanism'!B37&lt;0,0,+'FTES Decline Mechanism'!B37)</f>
        <v>0</v>
      </c>
      <c r="E37" s="164">
        <f>IF('FTES Decline Mechanism'!C37&lt;0,0,+'FTES Decline Mechanism'!C37)</f>
        <v>0</v>
      </c>
      <c r="F37" s="164">
        <f>IF('FTES Decline Mechanism'!D37&lt;0,0,+'FTES Decline Mechanism'!D37)</f>
        <v>0</v>
      </c>
      <c r="G37" s="158"/>
      <c r="H37" s="158"/>
      <c r="I37" s="158"/>
      <c r="J37" s="194">
        <f>IF('FTES Decline Mechanism'!B41="Yes",0,-SUM('Summary Allocations'!D37:F37))</f>
        <v>0</v>
      </c>
      <c r="K37" s="163">
        <f>SUM(D37:J37)</f>
        <v>0</v>
      </c>
    </row>
    <row r="38" spans="1:15" s="164" customFormat="1" ht="18.75" thickBot="1">
      <c r="A38" s="163"/>
      <c r="B38" s="163"/>
      <c r="C38" s="162"/>
      <c r="D38" s="158"/>
      <c r="E38" s="158"/>
      <c r="F38" s="158"/>
      <c r="G38" s="158"/>
      <c r="H38" s="158"/>
      <c r="I38" s="158"/>
      <c r="J38" s="158"/>
      <c r="K38" s="157"/>
      <c r="N38" s="164" t="s">
        <v>195</v>
      </c>
      <c r="O38" s="237">
        <f>SUM(O32:O36)</f>
        <v>-2737731</v>
      </c>
    </row>
    <row r="39" spans="1:11" s="155" customFormat="1" ht="18">
      <c r="A39" s="152" t="s">
        <v>130</v>
      </c>
      <c r="B39" s="152" t="s">
        <v>158</v>
      </c>
      <c r="C39" s="162"/>
      <c r="D39" s="180">
        <f>+'Other Income  Inc -Decline '!C19+'Other Income  Inc -Decline '!C20</f>
        <v>0</v>
      </c>
      <c r="E39" s="180">
        <f>+'Other Income  Inc -Decline '!D19+'Other Income  Inc -Decline '!D20</f>
        <v>0</v>
      </c>
      <c r="F39" s="180">
        <f>+'Other Income  Inc -Decline '!E19+'Other Income  Inc -Decline '!E20</f>
        <v>0</v>
      </c>
      <c r="G39" s="162"/>
      <c r="H39" s="162"/>
      <c r="I39" s="162"/>
      <c r="J39" s="162"/>
      <c r="K39" s="159">
        <f>SUM(D39:J39)</f>
        <v>0</v>
      </c>
    </row>
    <row r="40" spans="1:11" s="155" customFormat="1" ht="18.75" thickBot="1">
      <c r="A40" s="152" t="s">
        <v>130</v>
      </c>
      <c r="B40" s="152" t="s">
        <v>174</v>
      </c>
      <c r="C40" s="162"/>
      <c r="D40" s="171">
        <f>IF('Other Income  Inc -Decline '!C28&lt;0,0,+'Other Income  Inc -Decline '!C28)</f>
        <v>0</v>
      </c>
      <c r="E40" s="171">
        <f>IF('Other Income  Inc -Decline '!D28&lt;0,0,+'Other Income  Inc -Decline '!D28)</f>
        <v>0</v>
      </c>
      <c r="F40" s="171">
        <f>IF('Other Income  Inc -Decline '!E28&lt;0,0,+'Other Income  Inc -Decline '!E28)</f>
        <v>0</v>
      </c>
      <c r="G40" s="154"/>
      <c r="H40" s="154"/>
      <c r="I40" s="154"/>
      <c r="J40" s="194">
        <f>IF(SUM(D40:F40)&gt;0,-SUM(D40:F40),0)</f>
        <v>0</v>
      </c>
      <c r="K40" s="159">
        <f>SUM(D40:J40)</f>
        <v>0</v>
      </c>
    </row>
    <row r="41" spans="1:11" s="152" customFormat="1" ht="18.75" thickBot="1">
      <c r="A41" s="169"/>
      <c r="B41" s="173" t="s">
        <v>161</v>
      </c>
      <c r="C41" s="161"/>
      <c r="D41" s="172">
        <f aca="true" t="shared" si="3" ref="D41:K41">SUM(D29:D39)</f>
        <v>52604159.716413446</v>
      </c>
      <c r="E41" s="172">
        <f t="shared" si="3"/>
        <v>13555956.565071162</v>
      </c>
      <c r="F41" s="172">
        <f t="shared" si="3"/>
        <v>13630472.708515408</v>
      </c>
      <c r="G41" s="172">
        <f t="shared" si="3"/>
        <v>0</v>
      </c>
      <c r="H41" s="172">
        <f t="shared" si="3"/>
        <v>0</v>
      </c>
      <c r="I41" s="172">
        <f t="shared" si="3"/>
        <v>0</v>
      </c>
      <c r="J41" s="172">
        <f t="shared" si="3"/>
        <v>0</v>
      </c>
      <c r="K41" s="172">
        <f t="shared" si="3"/>
        <v>79790588.99000001</v>
      </c>
    </row>
    <row r="42" spans="1:11" s="155" customFormat="1" ht="18">
      <c r="A42" s="152"/>
      <c r="C42" s="162"/>
      <c r="D42" s="162"/>
      <c r="E42" s="162"/>
      <c r="F42" s="162"/>
      <c r="G42" s="162"/>
      <c r="H42" s="162"/>
      <c r="I42" s="162"/>
      <c r="J42" s="162"/>
      <c r="K42" s="161"/>
    </row>
    <row r="43" spans="1:11" s="155" customFormat="1" ht="18">
      <c r="A43" s="170" t="s">
        <v>131</v>
      </c>
      <c r="B43" s="152" t="s">
        <v>169</v>
      </c>
      <c r="C43" s="162"/>
      <c r="D43" s="162"/>
      <c r="E43" s="162"/>
      <c r="F43" s="162"/>
      <c r="G43" s="162"/>
      <c r="H43" s="162"/>
      <c r="I43" s="162"/>
      <c r="J43" s="166">
        <v>7378237</v>
      </c>
      <c r="K43" s="159">
        <f>SUM(D43:J43)</f>
        <v>7378237</v>
      </c>
    </row>
    <row r="44" spans="1:11" s="166" customFormat="1" ht="18">
      <c r="A44" s="170" t="s">
        <v>131</v>
      </c>
      <c r="B44" s="170" t="s">
        <v>159</v>
      </c>
      <c r="C44" s="162"/>
      <c r="D44" s="162"/>
      <c r="E44" s="162"/>
      <c r="F44" s="162"/>
      <c r="G44" s="162"/>
      <c r="H44" s="162"/>
      <c r="I44" s="162"/>
      <c r="J44" s="166">
        <v>0</v>
      </c>
      <c r="K44" s="159">
        <f>SUM(D44:J44)</f>
        <v>0</v>
      </c>
    </row>
    <row r="45" spans="1:11" s="166" customFormat="1" ht="18">
      <c r="A45" s="170"/>
      <c r="B45" s="170"/>
      <c r="C45" s="162"/>
      <c r="D45" s="162"/>
      <c r="E45" s="162"/>
      <c r="F45" s="162"/>
      <c r="G45" s="162"/>
      <c r="H45" s="162"/>
      <c r="I45" s="162"/>
      <c r="K45" s="159"/>
    </row>
    <row r="46" spans="1:11" s="164" customFormat="1" ht="18">
      <c r="A46" s="163" t="s">
        <v>133</v>
      </c>
      <c r="B46" s="165" t="s">
        <v>143</v>
      </c>
      <c r="C46" s="162"/>
      <c r="D46" s="166">
        <v>0</v>
      </c>
      <c r="E46" s="166">
        <v>0</v>
      </c>
      <c r="F46" s="166">
        <v>0</v>
      </c>
      <c r="G46" s="166">
        <v>0</v>
      </c>
      <c r="H46" s="166">
        <v>0</v>
      </c>
      <c r="I46" s="166">
        <v>0</v>
      </c>
      <c r="J46" s="166">
        <v>0</v>
      </c>
      <c r="K46" s="159">
        <f>SUM(C46:J46)</f>
        <v>0</v>
      </c>
    </row>
    <row r="47" spans="1:11" s="166" customFormat="1" ht="18">
      <c r="A47" s="170"/>
      <c r="B47" s="170"/>
      <c r="C47" s="162"/>
      <c r="D47" s="162"/>
      <c r="E47" s="162"/>
      <c r="F47" s="162"/>
      <c r="G47" s="162"/>
      <c r="H47" s="162"/>
      <c r="I47" s="162"/>
      <c r="K47" s="159"/>
    </row>
    <row r="48" spans="1:11" s="166" customFormat="1" ht="18">
      <c r="A48" s="170" t="s">
        <v>139</v>
      </c>
      <c r="B48" s="170" t="s">
        <v>187</v>
      </c>
      <c r="C48" s="162"/>
      <c r="D48" s="166">
        <f>+'District Costs'!$D$68*-'FTES Growth Allocations'!B25</f>
        <v>-4601259.214773466</v>
      </c>
      <c r="E48" s="166">
        <f>+'District Costs'!$D$68*-'FTES Growth Allocations'!C25</f>
        <v>-1145090.4691214715</v>
      </c>
      <c r="F48" s="166">
        <f>+'District Costs'!$D$68*-'FTES Growth Allocations'!D25</f>
        <v>-1180016.316105062</v>
      </c>
      <c r="G48" s="166">
        <f>-F48-E48-D48</f>
        <v>6926365.999999999</v>
      </c>
      <c r="H48" s="162"/>
      <c r="I48" s="162"/>
      <c r="J48" s="162"/>
      <c r="K48" s="159">
        <f>SUM(C48:J48)</f>
        <v>0</v>
      </c>
    </row>
    <row r="49" spans="1:11" s="166" customFormat="1" ht="18">
      <c r="A49" s="170" t="s">
        <v>139</v>
      </c>
      <c r="B49" s="170" t="s">
        <v>188</v>
      </c>
      <c r="C49" s="162"/>
      <c r="D49" s="166">
        <f>+'District Costs'!$D$69*-'FTES Growth Allocations'!B25</f>
        <v>-6031593.278540946</v>
      </c>
      <c r="E49" s="166">
        <f>+'District Costs'!$D$69*-'FTES Growth Allocations'!C25</f>
        <v>-1501049.9636053224</v>
      </c>
      <c r="F49" s="166">
        <f>+'District Costs'!$D$69*-'FTES Growth Allocations'!D25</f>
        <v>-1546832.7578537322</v>
      </c>
      <c r="G49" s="162"/>
      <c r="H49" s="166">
        <f>-F49-E49-D49</f>
        <v>9079476</v>
      </c>
      <c r="I49" s="162"/>
      <c r="J49" s="162"/>
      <c r="K49" s="159">
        <f>SUM(C49:J49)</f>
        <v>0</v>
      </c>
    </row>
    <row r="50" spans="1:11" s="166" customFormat="1" ht="18.75" thickBot="1">
      <c r="A50" s="170" t="s">
        <v>139</v>
      </c>
      <c r="B50" s="170" t="s">
        <v>189</v>
      </c>
      <c r="C50" s="162"/>
      <c r="D50" s="166">
        <f>+'District Costs'!$F$65*'FTES Growth Allocations'!B25</f>
        <v>2.8871624999999998E-08</v>
      </c>
      <c r="E50" s="166">
        <f>+'District Costs'!$F$65*'FTES Growth Allocations'!C25</f>
        <v>7.185125E-09</v>
      </c>
      <c r="F50" s="166">
        <f>+'District Costs'!$F$65*'FTES Growth Allocations'!D25</f>
        <v>7.404275E-09</v>
      </c>
      <c r="G50" s="162"/>
      <c r="H50" s="162"/>
      <c r="I50" s="166">
        <f>-F50-E50-D50</f>
        <v>-4.3461025E-08</v>
      </c>
      <c r="J50" s="162"/>
      <c r="K50" s="159">
        <f>SUM(C50:J50)</f>
        <v>0</v>
      </c>
    </row>
    <row r="51" spans="1:11" s="170" customFormat="1" ht="18.75" thickBot="1">
      <c r="A51" s="169"/>
      <c r="B51" s="173" t="s">
        <v>170</v>
      </c>
      <c r="C51" s="169"/>
      <c r="D51" s="169">
        <f>SUM(D43:D50)</f>
        <v>-10632852.493314382</v>
      </c>
      <c r="E51" s="169">
        <f aca="true" t="shared" si="4" ref="E51:K51">SUM(E43:E50)</f>
        <v>-2646140.432726787</v>
      </c>
      <c r="F51" s="169">
        <f t="shared" si="4"/>
        <v>-2726849.0739587867</v>
      </c>
      <c r="G51" s="169">
        <f t="shared" si="4"/>
        <v>6926365.999999999</v>
      </c>
      <c r="H51" s="169">
        <f t="shared" si="4"/>
        <v>9079476</v>
      </c>
      <c r="I51" s="169">
        <f t="shared" si="4"/>
        <v>-4.3461025E-08</v>
      </c>
      <c r="J51" s="169">
        <f t="shared" si="4"/>
        <v>7378237</v>
      </c>
      <c r="K51" s="169">
        <f t="shared" si="4"/>
        <v>7378237</v>
      </c>
    </row>
    <row r="52" spans="1:11" s="166" customFormat="1" ht="18.75" thickBot="1">
      <c r="A52" s="170"/>
      <c r="C52" s="162"/>
      <c r="D52" s="162"/>
      <c r="E52" s="162"/>
      <c r="F52" s="162"/>
      <c r="G52" s="162"/>
      <c r="H52" s="162"/>
      <c r="I52" s="162"/>
      <c r="J52" s="162"/>
      <c r="K52" s="161"/>
    </row>
    <row r="53" spans="1:11" s="170" customFormat="1" ht="18.75" thickBot="1">
      <c r="A53" s="169"/>
      <c r="B53" s="173" t="s">
        <v>166</v>
      </c>
      <c r="C53" s="169"/>
      <c r="D53" s="169">
        <f>+D26+D41+D51</f>
        <v>46899464.79969177</v>
      </c>
      <c r="E53" s="169">
        <f aca="true" t="shared" si="5" ref="E53:K53">+E51+E41+E26</f>
        <v>15146616.132344374</v>
      </c>
      <c r="F53" s="169">
        <f t="shared" si="5"/>
        <v>14081223.634556621</v>
      </c>
      <c r="G53" s="169">
        <f t="shared" si="5"/>
        <v>6926365.999999999</v>
      </c>
      <c r="H53" s="169">
        <f t="shared" si="5"/>
        <v>9079476</v>
      </c>
      <c r="I53" s="169">
        <f t="shared" si="5"/>
        <v>-4.3461025E-08</v>
      </c>
      <c r="J53" s="169">
        <f t="shared" si="5"/>
        <v>7216480</v>
      </c>
      <c r="K53" s="169">
        <f t="shared" si="5"/>
        <v>99349626.56659272</v>
      </c>
    </row>
    <row r="54" spans="1:11" s="166" customFormat="1" ht="18">
      <c r="A54" s="170"/>
      <c r="C54" s="162"/>
      <c r="D54" s="162"/>
      <c r="E54" s="162"/>
      <c r="F54" s="162"/>
      <c r="G54" s="162"/>
      <c r="H54" s="162"/>
      <c r="I54" s="162"/>
      <c r="J54" s="162"/>
      <c r="K54" s="161"/>
    </row>
    <row r="55" spans="2:11" s="152" customFormat="1" ht="18">
      <c r="B55" s="160" t="s">
        <v>65</v>
      </c>
      <c r="C55" s="162"/>
      <c r="D55" s="152">
        <f>+'[1]Alloc Scenario (2)'!B49-0.5</f>
        <v>46899464.799691774</v>
      </c>
      <c r="E55" s="152">
        <f>+'[1]Alloc Scenario (2)'!C49</f>
        <v>14147547.897234688</v>
      </c>
      <c r="F55" s="152">
        <f>+'[1]Alloc Scenario (2)'!D49</f>
        <v>13253725.079102485</v>
      </c>
      <c r="G55" s="152">
        <v>6926366</v>
      </c>
      <c r="H55" s="152">
        <v>9079476</v>
      </c>
      <c r="J55" s="152">
        <f>+'[1]Alloc Scenario (2)'!G49</f>
        <v>7378237</v>
      </c>
      <c r="K55" s="152">
        <f>SUM(D55:J55)</f>
        <v>97684816.77602895</v>
      </c>
    </row>
    <row r="56" spans="1:11" s="155" customFormat="1" ht="18.75" thickBot="1">
      <c r="A56" s="152"/>
      <c r="C56" s="162"/>
      <c r="D56" s="158"/>
      <c r="E56" s="158"/>
      <c r="F56" s="158"/>
      <c r="G56" s="158"/>
      <c r="H56" s="158"/>
      <c r="I56" s="158"/>
      <c r="J56" s="158"/>
      <c r="K56" s="157"/>
    </row>
    <row r="57" spans="1:11" s="174" customFormat="1" ht="18.75" thickBot="1">
      <c r="A57" s="211"/>
      <c r="B57" s="210" t="s">
        <v>173</v>
      </c>
      <c r="C57" s="215"/>
      <c r="D57" s="211">
        <f>+D53-D55</f>
        <v>0</v>
      </c>
      <c r="E57" s="211">
        <f aca="true" t="shared" si="6" ref="E57:K57">+E53-E55</f>
        <v>999068.2351096869</v>
      </c>
      <c r="F57" s="211">
        <f t="shared" si="6"/>
        <v>827498.5554541368</v>
      </c>
      <c r="G57" s="211">
        <f t="shared" si="6"/>
        <v>0</v>
      </c>
      <c r="H57" s="211">
        <f t="shared" si="6"/>
        <v>0</v>
      </c>
      <c r="I57" s="211">
        <f t="shared" si="6"/>
        <v>-4.3461025E-08</v>
      </c>
      <c r="J57" s="211">
        <f t="shared" si="6"/>
        <v>-161757</v>
      </c>
      <c r="K57" s="211">
        <f t="shared" si="6"/>
        <v>1664809.790563777</v>
      </c>
    </row>
    <row r="58" spans="2:11" s="212" customFormat="1" ht="18">
      <c r="B58" s="213"/>
      <c r="C58" s="166"/>
      <c r="D58" s="214"/>
      <c r="E58" s="214"/>
      <c r="F58" s="214"/>
      <c r="G58" s="214"/>
      <c r="H58" s="214"/>
      <c r="I58" s="214"/>
      <c r="J58" s="214"/>
      <c r="K58" s="214"/>
    </row>
    <row r="59" spans="2:11" s="174" customFormat="1" ht="18">
      <c r="B59" s="177"/>
      <c r="D59" s="178"/>
      <c r="E59" s="178"/>
      <c r="F59" s="178"/>
      <c r="G59" s="178"/>
      <c r="H59" s="178"/>
      <c r="I59" s="178"/>
      <c r="J59" s="179"/>
      <c r="K59" s="178"/>
    </row>
    <row r="60" spans="1:11" s="174" customFormat="1" ht="18">
      <c r="A60" s="205"/>
      <c r="B60" s="204"/>
      <c r="C60" s="205"/>
      <c r="D60" s="206"/>
      <c r="E60" s="206"/>
      <c r="F60" s="206"/>
      <c r="G60" s="206"/>
      <c r="H60" s="206"/>
      <c r="I60" s="206"/>
      <c r="J60" s="207"/>
      <c r="K60" s="206"/>
    </row>
    <row r="61" spans="1:11" s="174" customFormat="1" ht="18.75" thickBot="1">
      <c r="A61" s="205"/>
      <c r="B61" s="204"/>
      <c r="C61" s="205"/>
      <c r="D61" s="206"/>
      <c r="E61" s="206"/>
      <c r="F61" s="206"/>
      <c r="G61" s="206"/>
      <c r="H61" s="206"/>
      <c r="I61" s="206"/>
      <c r="J61" s="207"/>
      <c r="K61" s="206"/>
    </row>
    <row r="62" spans="1:11" s="174" customFormat="1" ht="18.75" thickBot="1">
      <c r="A62" s="231"/>
      <c r="B62" s="175" t="s">
        <v>171</v>
      </c>
      <c r="C62" s="195"/>
      <c r="D62" s="195"/>
      <c r="E62" s="195"/>
      <c r="F62" s="195"/>
      <c r="G62" s="195"/>
      <c r="H62" s="195"/>
      <c r="I62" s="195"/>
      <c r="J62" s="196"/>
      <c r="K62" s="197"/>
    </row>
    <row r="63" spans="1:11" s="174" customFormat="1" ht="18">
      <c r="A63" s="232"/>
      <c r="B63" s="230" t="s">
        <v>166</v>
      </c>
      <c r="C63" s="198"/>
      <c r="D63" s="198">
        <f aca="true" t="shared" si="7" ref="D63:I63">+D53</f>
        <v>46899464.79969177</v>
      </c>
      <c r="E63" s="198">
        <f t="shared" si="7"/>
        <v>15146616.132344374</v>
      </c>
      <c r="F63" s="198">
        <f t="shared" si="7"/>
        <v>14081223.634556621</v>
      </c>
      <c r="G63" s="198">
        <f t="shared" si="7"/>
        <v>6926365.999999999</v>
      </c>
      <c r="H63" s="198">
        <f t="shared" si="7"/>
        <v>9079476</v>
      </c>
      <c r="I63" s="198">
        <f t="shared" si="7"/>
        <v>-4.3461025E-08</v>
      </c>
      <c r="J63" s="198"/>
      <c r="K63" s="199">
        <f>SUM(D63:J63)</f>
        <v>92133146.56659271</v>
      </c>
    </row>
    <row r="64" spans="1:11" s="174" customFormat="1" ht="18">
      <c r="A64" s="232"/>
      <c r="B64" s="230" t="s">
        <v>176</v>
      </c>
      <c r="C64" s="198"/>
      <c r="D64" s="198"/>
      <c r="E64" s="198"/>
      <c r="F64" s="198"/>
      <c r="G64" s="198"/>
      <c r="H64" s="198"/>
      <c r="I64" s="198"/>
      <c r="J64" s="198">
        <f>+J53</f>
        <v>7216480</v>
      </c>
      <c r="K64" s="199">
        <f>SUM(D64:J64)</f>
        <v>7216480</v>
      </c>
    </row>
    <row r="65" spans="1:11" s="152" customFormat="1" ht="18.75" thickBot="1">
      <c r="A65" s="200"/>
      <c r="B65" s="201" t="s">
        <v>177</v>
      </c>
      <c r="C65" s="201"/>
      <c r="D65" s="201">
        <f>+D13</f>
        <v>0</v>
      </c>
      <c r="E65" s="201">
        <f>+E13</f>
        <v>0</v>
      </c>
      <c r="F65" s="201">
        <f>+F13</f>
        <v>0</v>
      </c>
      <c r="G65" s="201"/>
      <c r="H65" s="201"/>
      <c r="I65" s="201">
        <f>+I13</f>
        <v>0</v>
      </c>
      <c r="J65" s="201"/>
      <c r="K65" s="199">
        <f>SUM(D65:J65)</f>
        <v>0</v>
      </c>
    </row>
    <row r="66" spans="1:11" s="152" customFormat="1" ht="18.75" thickBot="1">
      <c r="A66" s="200"/>
      <c r="B66" s="203" t="s">
        <v>175</v>
      </c>
      <c r="C66" s="201"/>
      <c r="D66" s="169">
        <f aca="true" t="shared" si="8" ref="D66:K66">SUM(D63:D65)</f>
        <v>46899464.79969177</v>
      </c>
      <c r="E66" s="169">
        <f t="shared" si="8"/>
        <v>15146616.132344374</v>
      </c>
      <c r="F66" s="169">
        <f t="shared" si="8"/>
        <v>14081223.634556621</v>
      </c>
      <c r="G66" s="169">
        <f t="shared" si="8"/>
        <v>6926365.999999999</v>
      </c>
      <c r="H66" s="169">
        <f t="shared" si="8"/>
        <v>9079476</v>
      </c>
      <c r="I66" s="169">
        <f t="shared" si="8"/>
        <v>-4.3461025E-08</v>
      </c>
      <c r="J66" s="169">
        <f t="shared" si="8"/>
        <v>7216480</v>
      </c>
      <c r="K66" s="202">
        <f t="shared" si="8"/>
        <v>99349626.56659271</v>
      </c>
    </row>
    <row r="67" spans="1:11" s="155" customFormat="1" ht="18.75" thickBot="1">
      <c r="A67" s="233"/>
      <c r="B67" s="208"/>
      <c r="C67" s="208"/>
      <c r="D67" s="208"/>
      <c r="E67" s="208"/>
      <c r="F67" s="208"/>
      <c r="G67" s="208"/>
      <c r="H67" s="208"/>
      <c r="I67" s="208"/>
      <c r="J67" s="208"/>
      <c r="K67" s="209"/>
    </row>
    <row r="68" spans="1:11" s="155" customFormat="1" ht="18">
      <c r="A68" s="152"/>
      <c r="K68" s="152"/>
    </row>
    <row r="69" spans="1:11" s="155" customFormat="1" ht="18">
      <c r="A69" s="152"/>
      <c r="K69" s="152"/>
    </row>
    <row r="70" spans="1:11" s="155" customFormat="1" ht="18">
      <c r="A70" s="152"/>
      <c r="K70" s="152"/>
    </row>
    <row r="71" spans="1:11" s="155" customFormat="1" ht="18">
      <c r="A71" s="152"/>
      <c r="K71" s="152"/>
    </row>
    <row r="72" spans="1:11" s="155" customFormat="1" ht="18">
      <c r="A72" s="152"/>
      <c r="K72" s="152"/>
    </row>
    <row r="73" spans="1:11" s="155" customFormat="1" ht="18">
      <c r="A73" s="152"/>
      <c r="K73" s="152"/>
    </row>
    <row r="74" spans="1:11" s="155" customFormat="1" ht="18">
      <c r="A74" s="152"/>
      <c r="K74" s="152"/>
    </row>
    <row r="75" spans="1:11" s="155" customFormat="1" ht="18">
      <c r="A75" s="152"/>
      <c r="K75" s="152"/>
    </row>
    <row r="76" spans="1:11" s="155" customFormat="1" ht="18">
      <c r="A76" s="152"/>
      <c r="K76" s="152"/>
    </row>
    <row r="77" spans="1:11" s="155" customFormat="1" ht="18">
      <c r="A77" s="152"/>
      <c r="K77" s="152"/>
    </row>
    <row r="78" spans="1:11" s="155" customFormat="1" ht="18">
      <c r="A78" s="152"/>
      <c r="K78" s="152"/>
    </row>
    <row r="79" spans="1:11" s="155" customFormat="1" ht="18">
      <c r="A79" s="152"/>
      <c r="K79" s="152"/>
    </row>
    <row r="80" spans="1:11" s="155" customFormat="1" ht="18">
      <c r="A80" s="152"/>
      <c r="K80" s="152"/>
    </row>
    <row r="81" spans="1:11" s="155" customFormat="1" ht="18">
      <c r="A81" s="152"/>
      <c r="K81" s="152"/>
    </row>
  </sheetData>
  <sheetProtection/>
  <printOptions gridLines="1" headings="1"/>
  <pageMargins left="0.25" right="0.25" top="0.25" bottom="0.25" header="0.5" footer="0.5"/>
  <pageSetup fitToHeight="1" fitToWidth="1" horizontalDpi="600" verticalDpi="600" orientation="landscape" scale="3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43.7109375" style="0" customWidth="1"/>
    <col min="2" max="2" width="19.28125" style="0" customWidth="1"/>
    <col min="3" max="3" width="26.57421875" style="4" customWidth="1"/>
    <col min="4" max="5" width="19.8515625" style="4" customWidth="1"/>
    <col min="6" max="6" width="15.7109375" style="0" customWidth="1"/>
  </cols>
  <sheetData>
    <row r="1" spans="1:5" ht="18">
      <c r="A1" s="1" t="s">
        <v>6</v>
      </c>
      <c r="B1" s="72"/>
      <c r="C1"/>
      <c r="D1"/>
      <c r="E1"/>
    </row>
    <row r="2" spans="1:5" ht="18">
      <c r="A2" s="1"/>
      <c r="B2" s="72"/>
      <c r="C2"/>
      <c r="D2"/>
      <c r="E2"/>
    </row>
    <row r="3" spans="1:2" ht="18">
      <c r="A3" s="1" t="s">
        <v>91</v>
      </c>
      <c r="B3" s="1"/>
    </row>
    <row r="5" spans="1:5" s="5" customFormat="1" ht="32.25" thickBot="1">
      <c r="A5" s="6" t="s">
        <v>1</v>
      </c>
      <c r="B5" s="3" t="s">
        <v>2</v>
      </c>
      <c r="C5" s="3" t="s">
        <v>3</v>
      </c>
      <c r="D5" s="3" t="s">
        <v>4</v>
      </c>
      <c r="E5" s="3" t="s">
        <v>157</v>
      </c>
    </row>
    <row r="7" ht="16.5" thickBot="1">
      <c r="A7" s="69" t="s">
        <v>8</v>
      </c>
    </row>
    <row r="8" spans="1:5" s="8" customFormat="1" ht="15">
      <c r="A8" s="9" t="s">
        <v>63</v>
      </c>
      <c r="B8" s="64">
        <f>+'Base FTES Allocations'!B8*(1+'Budget Premisis'!B12)</f>
        <v>11548.65</v>
      </c>
      <c r="C8" s="64">
        <f>+'Base FTES Allocations'!C8*(1+'Budget Premisis'!B13)</f>
        <v>2874.05</v>
      </c>
      <c r="D8" s="64">
        <f>+'Base FTES Allocations'!D8*(1+'Budget Premisis'!B14)</f>
        <v>2961.71</v>
      </c>
      <c r="E8" s="64">
        <f>SUM(B8:D8)</f>
        <v>17384.41</v>
      </c>
    </row>
    <row r="9" spans="1:5" s="8" customFormat="1" ht="15.75" thickBot="1">
      <c r="A9" s="9" t="s">
        <v>64</v>
      </c>
      <c r="B9" s="64">
        <f>+'Base FTES Allocations'!B9</f>
        <v>48.339999999999996</v>
      </c>
      <c r="C9" s="64">
        <f>+'Base FTES Allocations'!C9</f>
        <v>188.97</v>
      </c>
      <c r="D9" s="64">
        <f>+'Base FTES Allocations'!D9</f>
        <v>65.66</v>
      </c>
      <c r="E9" s="64">
        <f>SUM(B9:D9)</f>
        <v>302.97</v>
      </c>
    </row>
    <row r="10" spans="1:5" s="8" customFormat="1" ht="15.75" thickBot="1">
      <c r="A10" s="66" t="s">
        <v>5</v>
      </c>
      <c r="B10" s="67">
        <f>SUM(B8:B9)</f>
        <v>11596.99</v>
      </c>
      <c r="C10" s="67">
        <f>SUM(C8:C9)</f>
        <v>3063.02</v>
      </c>
      <c r="D10" s="67">
        <f>SUM(D8:D9)</f>
        <v>3027.37</v>
      </c>
      <c r="E10" s="67">
        <f>SUM(E8:E9)</f>
        <v>17687.38</v>
      </c>
    </row>
    <row r="11" spans="1:5" s="8" customFormat="1" ht="15.75">
      <c r="A11" s="7"/>
      <c r="B11" s="14"/>
      <c r="C11" s="9"/>
      <c r="D11" s="61"/>
      <c r="E11" s="64"/>
    </row>
    <row r="12" spans="1:5" s="8" customFormat="1" ht="15.75">
      <c r="A12" s="7" t="s">
        <v>93</v>
      </c>
      <c r="B12" s="9"/>
      <c r="C12" s="9"/>
      <c r="D12" s="61"/>
      <c r="E12" s="70"/>
    </row>
    <row r="13" spans="1:5" s="8" customFormat="1" ht="15">
      <c r="A13" s="9"/>
      <c r="C13" s="9"/>
      <c r="D13" s="9"/>
      <c r="E13" s="9"/>
    </row>
    <row r="14" spans="1:5" s="8" customFormat="1" ht="16.5" thickBot="1">
      <c r="A14" s="10" t="s">
        <v>92</v>
      </c>
      <c r="C14" s="9"/>
      <c r="D14" s="9"/>
      <c r="E14" s="9"/>
    </row>
    <row r="15" spans="1:6" s="70" customFormat="1" ht="15">
      <c r="A15" s="70" t="s">
        <v>204</v>
      </c>
      <c r="B15" s="70">
        <f>+'Budget Premisis'!B9</f>
        <v>4367</v>
      </c>
      <c r="C15" s="70">
        <f>+B15</f>
        <v>4367</v>
      </c>
      <c r="D15" s="70">
        <f>+C15</f>
        <v>4367</v>
      </c>
      <c r="F15" s="70" t="s">
        <v>101</v>
      </c>
    </row>
    <row r="16" spans="1:4" s="70" customFormat="1" ht="15">
      <c r="A16" s="70" t="s">
        <v>205</v>
      </c>
      <c r="B16" s="70">
        <f>+'Budget Premisis'!B8</f>
        <v>2626</v>
      </c>
      <c r="C16" s="70">
        <f>+B16</f>
        <v>2626</v>
      </c>
      <c r="D16" s="70">
        <f>+C16</f>
        <v>2626</v>
      </c>
    </row>
    <row r="17" spans="1:5" s="8" customFormat="1" ht="15">
      <c r="A17" s="9"/>
      <c r="C17" s="9"/>
      <c r="D17" s="9"/>
      <c r="E17" s="9"/>
    </row>
    <row r="18" spans="1:5" s="8" customFormat="1" ht="16.5" thickBot="1">
      <c r="A18" s="10" t="s">
        <v>66</v>
      </c>
      <c r="B18" s="78"/>
      <c r="C18" s="79"/>
      <c r="D18" s="9"/>
      <c r="E18" s="9"/>
    </row>
    <row r="19" spans="1:5" s="8" customFormat="1" ht="15">
      <c r="A19" s="66"/>
      <c r="C19" s="9"/>
      <c r="D19" s="9"/>
      <c r="E19" s="9"/>
    </row>
    <row r="20" spans="1:5" s="64" customFormat="1" ht="15">
      <c r="A20" s="64" t="s">
        <v>200</v>
      </c>
      <c r="B20" s="64">
        <f>+'Base FTES Allocations'!B9</f>
        <v>48.339999999999996</v>
      </c>
      <c r="C20" s="64">
        <f>+'Base FTES Allocations'!C9</f>
        <v>188.97</v>
      </c>
      <c r="D20" s="64">
        <f>+'Base FTES Allocations'!D9</f>
        <v>65.66</v>
      </c>
      <c r="E20" s="75">
        <f>SUM(B20:D20)</f>
        <v>302.97</v>
      </c>
    </row>
    <row r="21" spans="1:5" s="64" customFormat="1" ht="15.75" thickBot="1">
      <c r="A21" s="64" t="s">
        <v>201</v>
      </c>
      <c r="B21" s="64">
        <f>+B9</f>
        <v>48.339999999999996</v>
      </c>
      <c r="C21" s="64">
        <f>+C9</f>
        <v>188.97</v>
      </c>
      <c r="D21" s="64">
        <f>+D9</f>
        <v>65.66</v>
      </c>
      <c r="E21" s="75">
        <f>SUM(B21:D21)</f>
        <v>302.97</v>
      </c>
    </row>
    <row r="22" spans="1:5" s="64" customFormat="1" ht="15.75" thickBot="1">
      <c r="A22" s="80" t="s">
        <v>67</v>
      </c>
      <c r="B22" s="81">
        <f>+B21-B20</f>
        <v>0</v>
      </c>
      <c r="C22" s="81">
        <f>+C21-C20</f>
        <v>0</v>
      </c>
      <c r="D22" s="81">
        <f>+D21-D20</f>
        <v>0</v>
      </c>
      <c r="E22" s="81">
        <f>+E21-E20</f>
        <v>0</v>
      </c>
    </row>
    <row r="23" spans="1:5" s="8" customFormat="1" ht="15">
      <c r="A23" s="9"/>
      <c r="C23" s="9"/>
      <c r="D23" s="9"/>
      <c r="E23" s="9"/>
    </row>
    <row r="24" spans="1:5" s="9" customFormat="1" ht="15">
      <c r="A24" s="9" t="s">
        <v>202</v>
      </c>
      <c r="B24" s="75">
        <f>+'Base FTES Allocations'!B8</f>
        <v>11548.65</v>
      </c>
      <c r="C24" s="75">
        <f>+'Base FTES Allocations'!C8</f>
        <v>2874.05</v>
      </c>
      <c r="D24" s="75">
        <f>+'Base FTES Allocations'!D8</f>
        <v>2961.71</v>
      </c>
      <c r="E24" s="75">
        <f>SUM(B24:D24)</f>
        <v>17384.41</v>
      </c>
    </row>
    <row r="25" spans="1:5" s="9" customFormat="1" ht="15.75" thickBot="1">
      <c r="A25" s="9" t="s">
        <v>203</v>
      </c>
      <c r="B25" s="75">
        <f>+B8</f>
        <v>11548.65</v>
      </c>
      <c r="C25" s="75">
        <f>+C8</f>
        <v>2874.05</v>
      </c>
      <c r="D25" s="75">
        <f>+D8</f>
        <v>2961.71</v>
      </c>
      <c r="E25" s="75">
        <f>SUM(B25:D25)</f>
        <v>17384.41</v>
      </c>
    </row>
    <row r="26" spans="1:5" s="64" customFormat="1" ht="15.75" thickBot="1">
      <c r="A26" s="80" t="s">
        <v>67</v>
      </c>
      <c r="B26" s="81">
        <f>+B25-B24</f>
        <v>0</v>
      </c>
      <c r="C26" s="81">
        <f>+C25-C24</f>
        <v>0</v>
      </c>
      <c r="D26" s="81">
        <f>+D25-D24</f>
        <v>0</v>
      </c>
      <c r="E26" s="81">
        <f>+E25-E24</f>
        <v>0</v>
      </c>
    </row>
    <row r="27" spans="1:5" s="8" customFormat="1" ht="15">
      <c r="A27" s="9"/>
      <c r="C27" s="9"/>
      <c r="D27" s="9"/>
      <c r="E27" s="9"/>
    </row>
    <row r="28" spans="1:5" s="8" customFormat="1" ht="16.5" thickBot="1">
      <c r="A28" s="10" t="s">
        <v>68</v>
      </c>
      <c r="B28" s="78"/>
      <c r="C28" s="79"/>
      <c r="D28" s="79"/>
      <c r="E28" s="117"/>
    </row>
    <row r="29" spans="1:5" s="70" customFormat="1" ht="15.75" thickBot="1">
      <c r="A29" s="70" t="s">
        <v>150</v>
      </c>
      <c r="B29" s="76">
        <f>IF(B26+B22&lt;=0,0,(B26*B15)+(B22*B16))</f>
        <v>0</v>
      </c>
      <c r="C29" s="76">
        <f>IF(C26+C22&lt;=0,0,(C26*C15)+(C22*C16))</f>
        <v>0</v>
      </c>
      <c r="D29" s="76">
        <f>IF(D26+D22&lt;=0,0,(D26*D15)+(D22*D16))</f>
        <v>0</v>
      </c>
      <c r="E29" s="110">
        <f>SUM(B29:D29)</f>
        <v>0</v>
      </c>
    </row>
    <row r="30" spans="1:5" s="8" customFormat="1" ht="15">
      <c r="A30" s="9"/>
      <c r="C30" s="9"/>
      <c r="D30" s="9"/>
      <c r="E30" s="9"/>
    </row>
    <row r="31" spans="1:5" s="8" customFormat="1" ht="15">
      <c r="A31" s="9"/>
      <c r="C31" s="9"/>
      <c r="D31" s="9"/>
      <c r="E31" s="9"/>
    </row>
    <row r="32" spans="1:5" s="8" customFormat="1" ht="15">
      <c r="A32" s="9"/>
      <c r="C32" s="9"/>
      <c r="D32" s="9"/>
      <c r="E32" s="9"/>
    </row>
    <row r="33" spans="1:5" s="8" customFormat="1" ht="15">
      <c r="A33" s="9"/>
      <c r="C33" s="9"/>
      <c r="D33" s="9"/>
      <c r="E33" s="9"/>
    </row>
    <row r="34" spans="1:5" s="8" customFormat="1" ht="15">
      <c r="A34" s="9"/>
      <c r="C34" s="9"/>
      <c r="D34" s="9"/>
      <c r="E34" s="9"/>
    </row>
    <row r="35" spans="1:5" s="8" customFormat="1" ht="15">
      <c r="A35" s="9"/>
      <c r="C35" s="9"/>
      <c r="D35" s="9"/>
      <c r="E35" s="9"/>
    </row>
    <row r="36" spans="1:5" s="8" customFormat="1" ht="15">
      <c r="A36" s="9"/>
      <c r="C36" s="9"/>
      <c r="D36" s="9"/>
      <c r="E36" s="9"/>
    </row>
    <row r="37" spans="1:5" s="8" customFormat="1" ht="15">
      <c r="A37" s="9"/>
      <c r="C37" s="9"/>
      <c r="D37" s="9"/>
      <c r="E37" s="9"/>
    </row>
    <row r="38" spans="1:5" s="8" customFormat="1" ht="15">
      <c r="A38" s="9"/>
      <c r="C38" s="9"/>
      <c r="D38" s="9"/>
      <c r="E38" s="9"/>
    </row>
    <row r="39" spans="1:5" s="8" customFormat="1" ht="15">
      <c r="A39" s="9"/>
      <c r="C39" s="9"/>
      <c r="D39" s="9"/>
      <c r="E39" s="9"/>
    </row>
    <row r="40" ht="15">
      <c r="A40" s="4"/>
    </row>
    <row r="41" ht="15">
      <c r="A41" s="4"/>
    </row>
    <row r="42" ht="15">
      <c r="A42" s="4"/>
    </row>
    <row r="43" ht="15">
      <c r="A43" s="4"/>
    </row>
    <row r="44" ht="15">
      <c r="A44" s="4"/>
    </row>
    <row r="45" ht="15">
      <c r="A45" s="4"/>
    </row>
    <row r="46" ht="15">
      <c r="A46" s="4"/>
    </row>
    <row r="47" ht="15">
      <c r="A47" s="4"/>
    </row>
    <row r="48" ht="15">
      <c r="A48" s="4"/>
    </row>
    <row r="49" ht="15">
      <c r="A49" s="4"/>
    </row>
    <row r="50" ht="15">
      <c r="A50" s="4"/>
    </row>
    <row r="51" ht="15">
      <c r="A51" s="4"/>
    </row>
    <row r="52" ht="15">
      <c r="A52" s="4"/>
    </row>
    <row r="53" ht="15">
      <c r="A53" s="4"/>
    </row>
    <row r="54" ht="15">
      <c r="A54" s="4"/>
    </row>
    <row r="55" ht="15">
      <c r="A55" s="4"/>
    </row>
    <row r="56" ht="15">
      <c r="A56" s="4"/>
    </row>
    <row r="57" ht="15">
      <c r="A57" s="4"/>
    </row>
    <row r="58" ht="15">
      <c r="A58" s="4"/>
    </row>
    <row r="59" ht="15">
      <c r="A59" s="4"/>
    </row>
    <row r="60" ht="15">
      <c r="A60" s="4"/>
    </row>
    <row r="61" ht="15">
      <c r="A61" s="4"/>
    </row>
    <row r="62" ht="15">
      <c r="A62" s="4"/>
    </row>
    <row r="63" ht="15">
      <c r="A63" s="4"/>
    </row>
    <row r="64" ht="15">
      <c r="A64" s="4"/>
    </row>
    <row r="65" ht="15">
      <c r="A65" s="4"/>
    </row>
  </sheetData>
  <sheetProtection/>
  <printOptions/>
  <pageMargins left="0.75" right="0.75" top="1" bottom="1" header="0.5" footer="0.5"/>
  <pageSetup fitToHeight="1" fitToWidth="1" horizontalDpi="600" verticalDpi="600" orientation="landscape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55.140625" style="0" customWidth="1"/>
    <col min="2" max="2" width="19.28125" style="0" customWidth="1"/>
    <col min="3" max="3" width="26.57421875" style="4" customWidth="1"/>
    <col min="4" max="5" width="19.8515625" style="4" customWidth="1"/>
    <col min="6" max="6" width="15.7109375" style="0" customWidth="1"/>
  </cols>
  <sheetData>
    <row r="1" spans="1:5" ht="18">
      <c r="A1" s="1" t="s">
        <v>6</v>
      </c>
      <c r="B1" s="72"/>
      <c r="C1"/>
      <c r="D1"/>
      <c r="E1"/>
    </row>
    <row r="2" spans="1:2" s="102" customFormat="1" ht="15.75">
      <c r="A2" s="120"/>
      <c r="B2" s="121"/>
    </row>
    <row r="3" spans="1:2" ht="18">
      <c r="A3" s="1" t="s">
        <v>91</v>
      </c>
      <c r="B3" s="1"/>
    </row>
    <row r="5" spans="1:5" s="5" customFormat="1" ht="32.25" thickBot="1">
      <c r="A5" s="6" t="s">
        <v>1</v>
      </c>
      <c r="B5" s="3" t="s">
        <v>2</v>
      </c>
      <c r="C5" s="3" t="s">
        <v>3</v>
      </c>
      <c r="D5" s="3" t="s">
        <v>4</v>
      </c>
      <c r="E5" s="3" t="s">
        <v>157</v>
      </c>
    </row>
    <row r="7" ht="16.5" thickBot="1">
      <c r="A7" s="69" t="s">
        <v>8</v>
      </c>
    </row>
    <row r="8" spans="1:5" s="8" customFormat="1" ht="15">
      <c r="A8" s="9" t="s">
        <v>63</v>
      </c>
      <c r="B8" s="64">
        <f>+'Base FTES Allocations'!B8*(1+'Budget Premisis'!B12)</f>
        <v>11548.65</v>
      </c>
      <c r="C8" s="64">
        <f>+'Base FTES Allocations'!C8*(1+'Budget Premisis'!B13)</f>
        <v>2874.05</v>
      </c>
      <c r="D8" s="64">
        <f>+'Base FTES Allocations'!D8*(1+'Budget Premisis'!B14)</f>
        <v>2961.71</v>
      </c>
      <c r="E8" s="64">
        <f>SUM(B8:D8)</f>
        <v>17384.41</v>
      </c>
    </row>
    <row r="9" spans="1:5" s="8" customFormat="1" ht="15.75" thickBot="1">
      <c r="A9" s="9" t="s">
        <v>64</v>
      </c>
      <c r="B9" s="64">
        <f>+'Base FTES Allocations'!B9</f>
        <v>48.339999999999996</v>
      </c>
      <c r="C9" s="64">
        <f>+'Base FTES Allocations'!C9</f>
        <v>188.97</v>
      </c>
      <c r="D9" s="64">
        <f>+'Base FTES Allocations'!D9</f>
        <v>65.66</v>
      </c>
      <c r="E9" s="64">
        <f>SUM(B9:D9)</f>
        <v>302.97</v>
      </c>
    </row>
    <row r="10" spans="1:5" s="8" customFormat="1" ht="15.75" thickBot="1">
      <c r="A10" s="66" t="s">
        <v>5</v>
      </c>
      <c r="B10" s="67">
        <f>SUM(B8:B9)</f>
        <v>11596.99</v>
      </c>
      <c r="C10" s="67">
        <f>SUM(C8:C9)</f>
        <v>3063.02</v>
      </c>
      <c r="D10" s="67">
        <f>SUM(D8:D9)</f>
        <v>3027.37</v>
      </c>
      <c r="E10" s="67">
        <f>SUM(E8:E9)</f>
        <v>17687.38</v>
      </c>
    </row>
    <row r="11" spans="1:5" s="8" customFormat="1" ht="15.75">
      <c r="A11" s="7"/>
      <c r="B11" s="14"/>
      <c r="C11" s="9"/>
      <c r="D11" s="61"/>
      <c r="E11" s="64"/>
    </row>
    <row r="12" spans="1:5" s="8" customFormat="1" ht="15.75">
      <c r="A12" s="7" t="s">
        <v>93</v>
      </c>
      <c r="B12" s="9"/>
      <c r="C12" s="9"/>
      <c r="D12" s="61"/>
      <c r="E12" s="70"/>
    </row>
    <row r="13" spans="1:5" s="8" customFormat="1" ht="15">
      <c r="A13" s="9"/>
      <c r="C13" s="9"/>
      <c r="D13" s="9"/>
      <c r="E13" s="9"/>
    </row>
    <row r="14" spans="1:5" s="8" customFormat="1" ht="16.5" thickBot="1">
      <c r="A14" s="10" t="s">
        <v>92</v>
      </c>
      <c r="C14" s="9"/>
      <c r="D14" s="9"/>
      <c r="E14" s="9"/>
    </row>
    <row r="15" spans="1:6" s="70" customFormat="1" ht="15">
      <c r="A15" s="70" t="s">
        <v>204</v>
      </c>
      <c r="B15" s="70">
        <f>+'Budget Premisis'!B9</f>
        <v>4367</v>
      </c>
      <c r="C15" s="70">
        <f>+B15</f>
        <v>4367</v>
      </c>
      <c r="D15" s="70">
        <f>+C15</f>
        <v>4367</v>
      </c>
      <c r="F15" s="70" t="s">
        <v>101</v>
      </c>
    </row>
    <row r="16" spans="1:4" s="70" customFormat="1" ht="15">
      <c r="A16" s="70" t="s">
        <v>205</v>
      </c>
      <c r="B16" s="70">
        <f>+'Budget Premisis'!B8</f>
        <v>2626</v>
      </c>
      <c r="C16" s="70">
        <f>+B16</f>
        <v>2626</v>
      </c>
      <c r="D16" s="70">
        <f>+C16</f>
        <v>2626</v>
      </c>
    </row>
    <row r="17" s="70" customFormat="1" ht="15"/>
    <row r="18" spans="1:5" s="8" customFormat="1" ht="15">
      <c r="A18" s="9"/>
      <c r="C18" s="9"/>
      <c r="D18" s="9"/>
      <c r="E18" s="9"/>
    </row>
    <row r="19" spans="1:5" s="8" customFormat="1" ht="16.5" thickBot="1">
      <c r="A19" s="10" t="s">
        <v>151</v>
      </c>
      <c r="B19" s="78"/>
      <c r="C19" s="79"/>
      <c r="D19" s="9"/>
      <c r="E19" s="9"/>
    </row>
    <row r="20" spans="1:5" s="8" customFormat="1" ht="15">
      <c r="A20" s="66"/>
      <c r="C20" s="9"/>
      <c r="D20" s="9"/>
      <c r="E20" s="9"/>
    </row>
    <row r="21" spans="1:5" s="64" customFormat="1" ht="15">
      <c r="A21" s="64" t="s">
        <v>200</v>
      </c>
      <c r="B21" s="64">
        <f>+'Base FTES Allocations'!B8</f>
        <v>11548.65</v>
      </c>
      <c r="C21" s="64">
        <f>+'Base FTES Allocations'!C8</f>
        <v>2874.05</v>
      </c>
      <c r="D21" s="64">
        <f>+'Base FTES Allocations'!D8</f>
        <v>2961.71</v>
      </c>
      <c r="E21" s="75">
        <f>SUM(B21:D21)</f>
        <v>17384.41</v>
      </c>
    </row>
    <row r="22" spans="1:5" s="64" customFormat="1" ht="15.75" thickBot="1">
      <c r="A22" s="64" t="s">
        <v>201</v>
      </c>
      <c r="B22" s="64">
        <f>+B8</f>
        <v>11548.65</v>
      </c>
      <c r="C22" s="64">
        <f>+C8</f>
        <v>2874.05</v>
      </c>
      <c r="D22" s="64">
        <f>+D8</f>
        <v>2961.71</v>
      </c>
      <c r="E22" s="75">
        <f>SUM(B22:D22)</f>
        <v>17384.41</v>
      </c>
    </row>
    <row r="23" spans="1:5" s="64" customFormat="1" ht="15.75" thickBot="1">
      <c r="A23" s="80" t="s">
        <v>67</v>
      </c>
      <c r="B23" s="81">
        <f>+B22-B21</f>
        <v>0</v>
      </c>
      <c r="C23" s="81">
        <f>+C22-C21</f>
        <v>0</v>
      </c>
      <c r="D23" s="81">
        <f>+D22-D21</f>
        <v>0</v>
      </c>
      <c r="E23" s="81">
        <f>+E22-E21</f>
        <v>0</v>
      </c>
    </row>
    <row r="24" spans="1:5" s="8" customFormat="1" ht="15">
      <c r="A24" s="9"/>
      <c r="C24" s="9"/>
      <c r="D24" s="9"/>
      <c r="E24" s="9"/>
    </row>
    <row r="25" spans="1:5" s="9" customFormat="1" ht="15">
      <c r="A25" s="9" t="s">
        <v>202</v>
      </c>
      <c r="B25" s="75">
        <f>+'Base FTES Allocations'!B9</f>
        <v>48.339999999999996</v>
      </c>
      <c r="C25" s="75">
        <f>+'Base FTES Allocations'!C9</f>
        <v>188.97</v>
      </c>
      <c r="D25" s="75">
        <f>+'Base FTES Allocations'!D9</f>
        <v>65.66</v>
      </c>
      <c r="E25" s="75">
        <f>SUM(B25:D25)</f>
        <v>302.97</v>
      </c>
    </row>
    <row r="26" spans="1:5" s="9" customFormat="1" ht="15.75" thickBot="1">
      <c r="A26" s="9" t="s">
        <v>203</v>
      </c>
      <c r="B26" s="75">
        <f>+B9</f>
        <v>48.339999999999996</v>
      </c>
      <c r="C26" s="75">
        <f>+C9</f>
        <v>188.97</v>
      </c>
      <c r="D26" s="75">
        <f>+D9</f>
        <v>65.66</v>
      </c>
      <c r="E26" s="75">
        <f>SUM(B26:D26)</f>
        <v>302.97</v>
      </c>
    </row>
    <row r="27" spans="1:5" s="64" customFormat="1" ht="15.75" thickBot="1">
      <c r="A27" s="80" t="s">
        <v>67</v>
      </c>
      <c r="B27" s="81">
        <f>+B26-B25</f>
        <v>0</v>
      </c>
      <c r="C27" s="81">
        <f>+C26-C25</f>
        <v>0</v>
      </c>
      <c r="D27" s="81">
        <f>+D26-D25</f>
        <v>0</v>
      </c>
      <c r="E27" s="81">
        <f>+E26-E25</f>
        <v>0</v>
      </c>
    </row>
    <row r="28" spans="1:5" s="64" customFormat="1" ht="15">
      <c r="A28" s="80"/>
      <c r="B28" s="218"/>
      <c r="C28" s="218"/>
      <c r="D28" s="218"/>
      <c r="E28" s="218"/>
    </row>
    <row r="29" spans="2:5" s="217" customFormat="1" ht="15.75" thickBot="1">
      <c r="B29" s="238"/>
      <c r="C29" s="238"/>
      <c r="D29" s="238"/>
      <c r="E29" s="238"/>
    </row>
    <row r="30" spans="1:6" s="9" customFormat="1" ht="15.75" thickBot="1">
      <c r="A30" s="9" t="s">
        <v>181</v>
      </c>
      <c r="B30" s="81">
        <f>IF(B23+B27&gt;=0,0,(B23*B15)+(B27*B16))</f>
        <v>0</v>
      </c>
      <c r="C30" s="81">
        <f>IF(C23+C27&gt;=0,0,(C23*C15)+(C27*C16))</f>
        <v>0</v>
      </c>
      <c r="D30" s="81">
        <f>IF(D23+D27&gt;=0,0,(D23*D15)+(D27*D16))</f>
        <v>0</v>
      </c>
      <c r="E30" s="62">
        <f>SUM(B30:D30)</f>
        <v>0</v>
      </c>
      <c r="F30" s="217"/>
    </row>
    <row r="31" spans="1:6" s="8" customFormat="1" ht="15">
      <c r="A31" s="9"/>
      <c r="C31" s="9"/>
      <c r="D31" s="9"/>
      <c r="E31" s="9"/>
      <c r="F31" s="219"/>
    </row>
    <row r="32" spans="1:5" s="8" customFormat="1" ht="15">
      <c r="A32" s="9"/>
      <c r="C32" s="9"/>
      <c r="D32" s="9"/>
      <c r="E32" s="9"/>
    </row>
    <row r="33" spans="1:4" s="9" customFormat="1" ht="16.5" thickBot="1">
      <c r="A33" s="10" t="s">
        <v>155</v>
      </c>
      <c r="B33" s="185" t="s">
        <v>154</v>
      </c>
      <c r="C33" s="185" t="s">
        <v>154</v>
      </c>
      <c r="D33" s="185" t="s">
        <v>154</v>
      </c>
    </row>
    <row r="34" spans="1:5" s="8" customFormat="1" ht="15">
      <c r="A34" s="9" t="s">
        <v>153</v>
      </c>
      <c r="B34" s="186"/>
      <c r="C34" s="186"/>
      <c r="D34" s="186"/>
      <c r="E34" s="9"/>
    </row>
    <row r="35" spans="1:5" s="8" customFormat="1" ht="15">
      <c r="A35" s="9"/>
      <c r="B35" s="183"/>
      <c r="C35" s="9"/>
      <c r="D35" s="9"/>
      <c r="E35" s="9"/>
    </row>
    <row r="36" spans="1:6" s="8" customFormat="1" ht="16.5" thickBot="1">
      <c r="A36" s="184" t="s">
        <v>152</v>
      </c>
      <c r="C36" s="78"/>
      <c r="D36" s="79"/>
      <c r="E36" s="79"/>
      <c r="F36" s="216"/>
    </row>
    <row r="37" spans="1:5" s="70" customFormat="1" ht="15.75" thickBot="1">
      <c r="A37" s="9" t="s">
        <v>180</v>
      </c>
      <c r="B37" s="76">
        <f>IF(B34="No",0,IF(B30&gt;=0,0,IF(B30&lt;0,IF(B34="Yes",-B30,IF(B34="No",+B30,0)))))</f>
        <v>0</v>
      </c>
      <c r="C37" s="76">
        <f>IF(C34="No",0,IF(C30&gt;=0,0,IF(C30&lt;0,IF(C34="Yes",-C30,IF(C34="No",+C30,0)))))</f>
        <v>0</v>
      </c>
      <c r="D37" s="76">
        <f>IF(D34="No",0,IF(D30&gt;=0,0,IF(D30&lt;0,IF(D34="Yes",-D30,IF(D34="No",+D30,0)))))</f>
        <v>0</v>
      </c>
      <c r="E37" s="76">
        <f>SUM(B37:D37)</f>
        <v>0</v>
      </c>
    </row>
    <row r="38" spans="1:5" s="8" customFormat="1" ht="15">
      <c r="A38" s="9"/>
      <c r="C38" s="9"/>
      <c r="D38" s="9"/>
      <c r="E38" s="9"/>
    </row>
    <row r="39" spans="1:5" s="8" customFormat="1" ht="15">
      <c r="A39" s="9"/>
      <c r="C39" s="9"/>
      <c r="D39" s="9"/>
      <c r="E39" s="9"/>
    </row>
    <row r="40" spans="1:5" s="8" customFormat="1" ht="16.5" thickBot="1">
      <c r="A40" s="234"/>
      <c r="B40" s="235" t="s">
        <v>193</v>
      </c>
      <c r="C40" s="9"/>
      <c r="D40" s="9"/>
      <c r="E40" s="9"/>
    </row>
    <row r="41" spans="1:5" s="8" customFormat="1" ht="15">
      <c r="A41" s="234" t="s">
        <v>192</v>
      </c>
      <c r="B41" s="186"/>
      <c r="C41" s="9"/>
      <c r="D41" s="9"/>
      <c r="E41" s="9"/>
    </row>
    <row r="42" spans="1:5" s="8" customFormat="1" ht="15">
      <c r="A42" s="234"/>
      <c r="B42" s="14"/>
      <c r="C42" s="9"/>
      <c r="D42" s="9"/>
      <c r="E42" s="9"/>
    </row>
    <row r="43" spans="1:5" s="8" customFormat="1" ht="15">
      <c r="A43" s="9"/>
      <c r="C43" s="9"/>
      <c r="D43" s="9"/>
      <c r="E43" s="9"/>
    </row>
    <row r="44" spans="1:5" s="8" customFormat="1" ht="15">
      <c r="A44" s="9"/>
      <c r="C44" s="9"/>
      <c r="D44" s="9"/>
      <c r="E44" s="9"/>
    </row>
    <row r="45" spans="1:5" s="8" customFormat="1" ht="15">
      <c r="A45" s="9"/>
      <c r="C45" s="9"/>
      <c r="D45" s="9"/>
      <c r="E45" s="9"/>
    </row>
    <row r="46" spans="1:5" s="8" customFormat="1" ht="15">
      <c r="A46" s="9"/>
      <c r="C46" s="9"/>
      <c r="D46" s="9"/>
      <c r="E46" s="9"/>
    </row>
    <row r="47" spans="1:5" s="8" customFormat="1" ht="15">
      <c r="A47" s="9"/>
      <c r="C47" s="9"/>
      <c r="D47" s="9"/>
      <c r="E47" s="9"/>
    </row>
    <row r="48" ht="15">
      <c r="A48" s="4"/>
    </row>
    <row r="49" ht="15">
      <c r="A49" s="4"/>
    </row>
    <row r="50" ht="15">
      <c r="A50" s="4"/>
    </row>
    <row r="51" ht="15">
      <c r="A51" s="4"/>
    </row>
    <row r="52" ht="15">
      <c r="A52" s="4"/>
    </row>
    <row r="53" ht="15">
      <c r="A53" s="4"/>
    </row>
    <row r="54" ht="15">
      <c r="A54" s="4"/>
    </row>
    <row r="55" ht="15">
      <c r="A55" s="4"/>
    </row>
    <row r="56" ht="15">
      <c r="A56" s="4"/>
    </row>
    <row r="57" ht="15">
      <c r="A57" s="4"/>
    </row>
    <row r="58" ht="15">
      <c r="A58" s="4"/>
    </row>
    <row r="59" ht="15">
      <c r="A59" s="4"/>
    </row>
    <row r="60" ht="15">
      <c r="A60" s="4"/>
    </row>
    <row r="61" ht="15">
      <c r="A61" s="4"/>
    </row>
    <row r="62" ht="15">
      <c r="A62" s="4"/>
    </row>
    <row r="63" ht="15">
      <c r="A63" s="4"/>
    </row>
    <row r="64" ht="15">
      <c r="A64" s="4"/>
    </row>
    <row r="65" ht="15">
      <c r="A65" s="4"/>
    </row>
    <row r="66" ht="15">
      <c r="A66" s="4"/>
    </row>
    <row r="67" ht="15">
      <c r="A67" s="4"/>
    </row>
    <row r="68" ht="15">
      <c r="A68" s="4"/>
    </row>
    <row r="69" ht="15">
      <c r="A69" s="4"/>
    </row>
    <row r="70" ht="15">
      <c r="A70" s="4"/>
    </row>
    <row r="71" ht="15">
      <c r="A71" s="4"/>
    </row>
    <row r="72" ht="15">
      <c r="A72" s="4"/>
    </row>
    <row r="73" ht="15">
      <c r="A73" s="4"/>
    </row>
  </sheetData>
  <sheetProtection/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70.8515625" style="0" customWidth="1"/>
    <col min="2" max="2" width="22.00390625" style="4" customWidth="1"/>
    <col min="3" max="3" width="19.28125" style="0" customWidth="1"/>
    <col min="4" max="4" width="20.8515625" style="4" customWidth="1"/>
    <col min="5" max="5" width="19.8515625" style="4" customWidth="1"/>
    <col min="6" max="6" width="17.7109375" style="0" customWidth="1"/>
  </cols>
  <sheetData>
    <row r="1" spans="1:5" ht="18">
      <c r="A1" s="1" t="s">
        <v>6</v>
      </c>
      <c r="B1" s="72"/>
      <c r="D1"/>
      <c r="E1"/>
    </row>
    <row r="2" spans="1:2" s="102" customFormat="1" ht="15.75">
      <c r="A2" s="120"/>
      <c r="B2" s="121"/>
    </row>
    <row r="3" spans="1:3" ht="18">
      <c r="A3" s="1" t="s">
        <v>158</v>
      </c>
      <c r="B3" s="2"/>
      <c r="C3" s="1"/>
    </row>
    <row r="5" spans="1:6" s="5" customFormat="1" ht="48" thickBot="1">
      <c r="A5" s="6" t="s">
        <v>1</v>
      </c>
      <c r="B5" s="109"/>
      <c r="C5" s="3" t="s">
        <v>2</v>
      </c>
      <c r="D5" s="3" t="s">
        <v>3</v>
      </c>
      <c r="E5" s="3" t="s">
        <v>4</v>
      </c>
      <c r="F5" s="3" t="s">
        <v>157</v>
      </c>
    </row>
    <row r="7" spans="1:2" s="4" customFormat="1" ht="15">
      <c r="A7" s="4" t="s">
        <v>206</v>
      </c>
      <c r="B7" s="75">
        <v>0</v>
      </c>
    </row>
    <row r="8" s="4" customFormat="1" ht="15">
      <c r="B8" s="75"/>
    </row>
    <row r="9" spans="1:6" s="4" customFormat="1" ht="15">
      <c r="A9" s="4" t="s">
        <v>207</v>
      </c>
      <c r="B9" s="75">
        <f>+'Base FTES Allocations'!E22</f>
        <v>79790588.99000001</v>
      </c>
      <c r="C9" s="239"/>
      <c r="D9" s="239"/>
      <c r="E9" s="239"/>
      <c r="F9" s="239"/>
    </row>
    <row r="10" s="4" customFormat="1" ht="15.75">
      <c r="B10" s="240"/>
    </row>
    <row r="11" spans="1:2" s="4" customFormat="1" ht="15">
      <c r="A11" s="4" t="s">
        <v>208</v>
      </c>
      <c r="B11" s="63">
        <f>+B7/B9</f>
        <v>0</v>
      </c>
    </row>
    <row r="12" s="4" customFormat="1" ht="15.75">
      <c r="B12" s="240"/>
    </row>
    <row r="13" spans="1:6" s="4" customFormat="1" ht="15">
      <c r="A13" s="64" t="s">
        <v>209</v>
      </c>
      <c r="B13" s="75"/>
      <c r="C13" s="239">
        <f>+'Base FTES Allocations'!B17</f>
        <v>2626</v>
      </c>
      <c r="D13" s="239">
        <f>+C13</f>
        <v>2626</v>
      </c>
      <c r="E13" s="239">
        <f>+D13</f>
        <v>2626</v>
      </c>
      <c r="F13" s="239"/>
    </row>
    <row r="14" spans="1:5" s="64" customFormat="1" ht="15">
      <c r="A14" s="64" t="s">
        <v>210</v>
      </c>
      <c r="C14" s="239">
        <f>+'Base FTES Allocations'!B16</f>
        <v>4544.013272236447</v>
      </c>
      <c r="D14" s="64">
        <f>+C14</f>
        <v>4544.013272236447</v>
      </c>
      <c r="E14" s="64">
        <f>+D14</f>
        <v>4544.013272236447</v>
      </c>
    </row>
    <row r="15" s="9" customFormat="1" ht="15"/>
    <row r="16" spans="1:6" s="9" customFormat="1" ht="15">
      <c r="A16" s="9" t="s">
        <v>211</v>
      </c>
      <c r="C16" s="64">
        <f>+C13*$B$11</f>
        <v>0</v>
      </c>
      <c r="D16" s="64">
        <f>+C16</f>
        <v>0</v>
      </c>
      <c r="E16" s="64">
        <f>+D16</f>
        <v>0</v>
      </c>
      <c r="F16" s="64"/>
    </row>
    <row r="17" spans="1:6" s="9" customFormat="1" ht="15">
      <c r="A17" s="9" t="s">
        <v>212</v>
      </c>
      <c r="C17" s="64">
        <f>+C14*$B$11</f>
        <v>0</v>
      </c>
      <c r="D17" s="64">
        <f>+C17</f>
        <v>0</v>
      </c>
      <c r="E17" s="218">
        <f>+D17</f>
        <v>0</v>
      </c>
      <c r="F17" s="64"/>
    </row>
    <row r="18" s="9" customFormat="1" ht="15"/>
    <row r="19" spans="1:6" s="9" customFormat="1" ht="15">
      <c r="A19" s="9" t="s">
        <v>213</v>
      </c>
      <c r="C19" s="218">
        <f>+C16*'[4]Base FTES Allocations'!B11</f>
        <v>0</v>
      </c>
      <c r="D19" s="218">
        <f>+D16*'[4]Base FTES Allocations'!C11</f>
        <v>0</v>
      </c>
      <c r="E19" s="218">
        <f>+E16*'[4]Base FTES Allocations'!D11</f>
        <v>0</v>
      </c>
      <c r="F19" s="218">
        <f>SUM(C19:E19)</f>
        <v>0</v>
      </c>
    </row>
    <row r="20" spans="1:6" s="217" customFormat="1" ht="15.75" thickBot="1">
      <c r="A20" s="217" t="s">
        <v>214</v>
      </c>
      <c r="C20" s="218">
        <f>+C17*'[4]Base FTES Allocations'!B10</f>
        <v>0</v>
      </c>
      <c r="D20" s="218">
        <f>+D17*'[4]Base FTES Allocations'!C10</f>
        <v>0</v>
      </c>
      <c r="E20" s="218">
        <f>+E17*'[4]Base FTES Allocations'!D10</f>
        <v>0</v>
      </c>
      <c r="F20" s="218">
        <f>SUM(C20:E20)</f>
        <v>0</v>
      </c>
    </row>
    <row r="21" s="4" customFormat="1" ht="15.75" thickBot="1">
      <c r="F21" s="241">
        <f>SUM(F19:F20)</f>
        <v>0</v>
      </c>
    </row>
    <row r="22" s="4" customFormat="1" ht="15">
      <c r="F22" s="187"/>
    </row>
    <row r="23" s="4" customFormat="1" ht="15"/>
    <row r="24" spans="1:5" s="9" customFormat="1" ht="16.5" thickBot="1">
      <c r="A24" s="10" t="s">
        <v>155</v>
      </c>
      <c r="C24" s="185" t="s">
        <v>154</v>
      </c>
      <c r="D24" s="185" t="s">
        <v>154</v>
      </c>
      <c r="E24" s="185" t="s">
        <v>154</v>
      </c>
    </row>
    <row r="25" spans="1:6" s="8" customFormat="1" ht="15">
      <c r="A25" s="9" t="s">
        <v>220</v>
      </c>
      <c r="C25" s="186"/>
      <c r="D25" s="186"/>
      <c r="E25" s="186"/>
      <c r="F25" s="9"/>
    </row>
    <row r="26" spans="1:6" s="8" customFormat="1" ht="15">
      <c r="A26" s="9"/>
      <c r="C26" s="183"/>
      <c r="D26" s="9"/>
      <c r="E26" s="9"/>
      <c r="F26" s="9"/>
    </row>
    <row r="27" spans="1:6" s="8" customFormat="1" ht="16.5" thickBot="1">
      <c r="A27" s="184" t="s">
        <v>152</v>
      </c>
      <c r="C27" s="78"/>
      <c r="D27" s="79"/>
      <c r="E27" s="79"/>
      <c r="F27" s="117"/>
    </row>
    <row r="28" spans="1:6" s="70" customFormat="1" ht="15.75" thickBot="1">
      <c r="A28" s="9" t="s">
        <v>180</v>
      </c>
      <c r="C28" s="76">
        <f>IF($B$11&gt;=0,0,IF($B$11&lt;0,IF(C25="Yes",(-C19-C20),IF(C25="No",(+C19+C20),0))))</f>
        <v>0</v>
      </c>
      <c r="D28" s="76">
        <f>IF($B$11&gt;=0,0,IF($B$11&lt;0,IF(D25="Yes",(-D19-D20),IF(D25="No",(+D19+D20),0))))</f>
        <v>0</v>
      </c>
      <c r="E28" s="76">
        <f>IF($B$11&gt;=0,0,IF($B$11&lt;0,IF(E25="Yes",(-E19-E20),IF(E25="No",(+E19+E20),0))))</f>
        <v>0</v>
      </c>
      <c r="F28" s="76">
        <f>SUM(C28:E28)</f>
        <v>0</v>
      </c>
    </row>
    <row r="29" spans="1:6" s="8" customFormat="1" ht="15">
      <c r="A29" s="9"/>
      <c r="D29" s="9"/>
      <c r="E29" s="9"/>
      <c r="F29" s="9"/>
    </row>
    <row r="30" ht="15">
      <c r="A30" s="4"/>
    </row>
    <row r="31" ht="15">
      <c r="A31" s="4"/>
    </row>
    <row r="32" ht="15">
      <c r="A32" s="4"/>
    </row>
    <row r="33" ht="15">
      <c r="A33" s="4"/>
    </row>
    <row r="34" ht="15">
      <c r="A34" s="4"/>
    </row>
    <row r="35" ht="15">
      <c r="A35" s="4"/>
    </row>
    <row r="36" ht="15">
      <c r="A36" s="4"/>
    </row>
    <row r="37" ht="15">
      <c r="A37" s="4"/>
    </row>
    <row r="38" ht="15">
      <c r="A38" s="4"/>
    </row>
    <row r="39" ht="15">
      <c r="A39" s="4"/>
    </row>
    <row r="40" ht="15">
      <c r="A40" s="4"/>
    </row>
    <row r="41" ht="15">
      <c r="A41" s="4"/>
    </row>
    <row r="42" ht="15">
      <c r="A42" s="4"/>
    </row>
    <row r="43" ht="15">
      <c r="A43" s="4"/>
    </row>
    <row r="44" ht="15">
      <c r="A44" s="4"/>
    </row>
    <row r="45" ht="15">
      <c r="A45" s="4"/>
    </row>
    <row r="46" ht="15">
      <c r="A46" s="4"/>
    </row>
  </sheetData>
  <sheetProtection/>
  <printOptions/>
  <pageMargins left="0.75" right="0.75" top="1" bottom="1" header="0.5" footer="0.5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421875" style="0" customWidth="1"/>
    <col min="2" max="2" width="16.8515625" style="72" customWidth="1"/>
    <col min="3" max="4" width="16.8515625" style="0" customWidth="1"/>
    <col min="5" max="5" width="16.00390625" style="0" customWidth="1"/>
    <col min="6" max="6" width="15.57421875" style="0" customWidth="1"/>
  </cols>
  <sheetData>
    <row r="1" ht="18">
      <c r="A1" s="1" t="s">
        <v>6</v>
      </c>
    </row>
    <row r="2" ht="18">
      <c r="A2" s="1" t="s">
        <v>194</v>
      </c>
    </row>
    <row r="4" ht="18.75" thickBot="1">
      <c r="A4" s="111" t="s">
        <v>227</v>
      </c>
    </row>
    <row r="6" spans="1:2" ht="15.75">
      <c r="A6" s="2" t="s">
        <v>61</v>
      </c>
      <c r="B6" s="73">
        <v>0</v>
      </c>
    </row>
    <row r="8" spans="1:2" ht="15.75">
      <c r="A8" s="2" t="s">
        <v>148</v>
      </c>
      <c r="B8" s="71">
        <v>2626</v>
      </c>
    </row>
    <row r="9" spans="1:2" ht="15.75">
      <c r="A9" s="2" t="s">
        <v>149</v>
      </c>
      <c r="B9" s="71">
        <v>4367</v>
      </c>
    </row>
    <row r="11" spans="1:2" s="72" customFormat="1" ht="15.75">
      <c r="A11" s="2" t="s">
        <v>190</v>
      </c>
      <c r="B11" s="73"/>
    </row>
    <row r="12" spans="1:2" ht="15">
      <c r="A12" t="s">
        <v>2</v>
      </c>
      <c r="B12" s="73">
        <v>0</v>
      </c>
    </row>
    <row r="13" spans="1:2" ht="15">
      <c r="A13" s="118" t="s">
        <v>109</v>
      </c>
      <c r="B13" s="73">
        <v>0</v>
      </c>
    </row>
    <row r="14" spans="1:2" ht="15">
      <c r="A14" s="118" t="s">
        <v>4</v>
      </c>
      <c r="B14" s="73"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1">
      <selection activeCell="B28" sqref="B28"/>
    </sheetView>
  </sheetViews>
  <sheetFormatPr defaultColWidth="21.421875" defaultRowHeight="12.75"/>
  <cols>
    <col min="1" max="1" width="50.00390625" style="0" customWidth="1"/>
    <col min="2" max="3" width="21.421875" style="9" customWidth="1"/>
  </cols>
  <sheetData>
    <row r="1" ht="18">
      <c r="A1" s="1" t="s">
        <v>6</v>
      </c>
    </row>
    <row r="2" ht="18">
      <c r="A2" s="1" t="s">
        <v>183</v>
      </c>
    </row>
    <row r="3" ht="18.75" thickBot="1">
      <c r="A3" s="1"/>
    </row>
    <row r="4" spans="1:4" s="86" customFormat="1" ht="32.25" thickBot="1">
      <c r="A4" s="83" t="s">
        <v>69</v>
      </c>
      <c r="B4" s="84" t="s">
        <v>108</v>
      </c>
      <c r="C4" s="84" t="s">
        <v>107</v>
      </c>
      <c r="D4" s="85" t="s">
        <v>70</v>
      </c>
    </row>
    <row r="5" spans="1:4" s="90" customFormat="1" ht="16.5" customHeight="1" thickBot="1">
      <c r="A5" s="87" t="s">
        <v>71</v>
      </c>
      <c r="B5" s="88">
        <f>7378237</f>
        <v>7378237</v>
      </c>
      <c r="C5" s="88">
        <v>5713430</v>
      </c>
      <c r="D5" s="89">
        <f>+B5-C5</f>
        <v>1664807</v>
      </c>
    </row>
    <row r="6" spans="1:4" s="86" customFormat="1" ht="16.5" customHeight="1" thickBot="1">
      <c r="A6" s="93" t="s">
        <v>228</v>
      </c>
      <c r="B6" s="84">
        <f>SUM(B5:B5)</f>
        <v>7378237</v>
      </c>
      <c r="C6" s="84">
        <f>SUM(C5:C5)</f>
        <v>5713430</v>
      </c>
      <c r="D6" s="94">
        <f>SUM(D5:D5)</f>
        <v>1664807</v>
      </c>
    </row>
    <row r="7" spans="1:4" s="86" customFormat="1" ht="15" customHeight="1">
      <c r="A7" s="93"/>
      <c r="B7" s="95"/>
      <c r="C7" s="91"/>
      <c r="D7" s="96"/>
    </row>
    <row r="8" spans="1:5" ht="15" customHeight="1">
      <c r="A8" s="97" t="s">
        <v>73</v>
      </c>
      <c r="B8" s="7">
        <f>+Apportionment!C11-B9-B19</f>
        <v>79300389</v>
      </c>
      <c r="C8" s="7">
        <v>79300389</v>
      </c>
      <c r="D8" s="92">
        <f aca="true" t="shared" si="0" ref="D8:D21">+B8-C8</f>
        <v>0</v>
      </c>
      <c r="E8" s="82"/>
    </row>
    <row r="9" spans="1:5" ht="15.75">
      <c r="A9" s="97" t="s">
        <v>74</v>
      </c>
      <c r="B9" s="7">
        <f aca="true" t="shared" si="1" ref="B9:B21">+C9</f>
        <v>4290108</v>
      </c>
      <c r="C9" s="7">
        <v>4290108</v>
      </c>
      <c r="D9" s="92">
        <f t="shared" si="0"/>
        <v>0</v>
      </c>
      <c r="E9" s="82"/>
    </row>
    <row r="10" spans="1:4" ht="15.75">
      <c r="A10" s="97" t="s">
        <v>75</v>
      </c>
      <c r="B10" s="7">
        <f t="shared" si="1"/>
        <v>796395</v>
      </c>
      <c r="C10" s="7">
        <v>796395</v>
      </c>
      <c r="D10" s="92">
        <f t="shared" si="0"/>
        <v>0</v>
      </c>
    </row>
    <row r="11" spans="1:4" ht="15.75">
      <c r="A11" s="97" t="s">
        <v>76</v>
      </c>
      <c r="B11" s="7">
        <f t="shared" si="1"/>
        <v>29307.54</v>
      </c>
      <c r="C11" s="7">
        <v>29307.54</v>
      </c>
      <c r="D11" s="92">
        <f t="shared" si="0"/>
        <v>0</v>
      </c>
    </row>
    <row r="12" spans="1:4" ht="15.75">
      <c r="A12" s="97" t="s">
        <v>77</v>
      </c>
      <c r="B12" s="7">
        <f t="shared" si="1"/>
        <v>171492.64</v>
      </c>
      <c r="C12" s="7">
        <v>171492.64</v>
      </c>
      <c r="D12" s="92">
        <f t="shared" si="0"/>
        <v>0</v>
      </c>
    </row>
    <row r="13" spans="1:4" ht="15.75">
      <c r="A13" s="97" t="s">
        <v>78</v>
      </c>
      <c r="B13" s="7">
        <f t="shared" si="1"/>
        <v>0</v>
      </c>
      <c r="C13" s="7">
        <v>0</v>
      </c>
      <c r="D13" s="92">
        <f t="shared" si="0"/>
        <v>0</v>
      </c>
    </row>
    <row r="14" spans="1:4" ht="15.75">
      <c r="A14" s="97" t="s">
        <v>79</v>
      </c>
      <c r="B14" s="7">
        <f t="shared" si="1"/>
        <v>119872</v>
      </c>
      <c r="C14" s="7">
        <v>119872</v>
      </c>
      <c r="D14" s="92">
        <f t="shared" si="0"/>
        <v>0</v>
      </c>
    </row>
    <row r="15" spans="1:4" ht="15.75">
      <c r="A15" s="97" t="s">
        <v>80</v>
      </c>
      <c r="B15" s="7">
        <f t="shared" si="1"/>
        <v>2465469.36</v>
      </c>
      <c r="C15" s="7">
        <v>2465469.36</v>
      </c>
      <c r="D15" s="92">
        <f t="shared" si="0"/>
        <v>0</v>
      </c>
    </row>
    <row r="16" spans="1:4" ht="15.75">
      <c r="A16" s="97" t="s">
        <v>81</v>
      </c>
      <c r="B16" s="7">
        <f t="shared" si="1"/>
        <v>0</v>
      </c>
      <c r="C16" s="7">
        <v>0</v>
      </c>
      <c r="D16" s="92">
        <f t="shared" si="0"/>
        <v>0</v>
      </c>
    </row>
    <row r="17" spans="1:4" ht="15.75">
      <c r="A17" s="97" t="s">
        <v>82</v>
      </c>
      <c r="B17" s="7">
        <f t="shared" si="1"/>
        <v>171540.4</v>
      </c>
      <c r="C17" s="7">
        <v>171540.4</v>
      </c>
      <c r="D17" s="92">
        <f t="shared" si="0"/>
        <v>0</v>
      </c>
    </row>
    <row r="18" spans="1:4" ht="15.75">
      <c r="A18" s="97" t="s">
        <v>83</v>
      </c>
      <c r="B18" s="7">
        <f t="shared" si="1"/>
        <v>0</v>
      </c>
      <c r="C18" s="7">
        <v>0</v>
      </c>
      <c r="D18" s="92">
        <f t="shared" si="0"/>
        <v>0</v>
      </c>
    </row>
    <row r="19" spans="1:5" ht="15.75">
      <c r="A19" s="97" t="s">
        <v>84</v>
      </c>
      <c r="B19" s="7">
        <f t="shared" si="1"/>
        <v>4428175</v>
      </c>
      <c r="C19" s="7">
        <v>4428175</v>
      </c>
      <c r="D19" s="92">
        <f t="shared" si="0"/>
        <v>0</v>
      </c>
      <c r="E19" s="82"/>
    </row>
    <row r="20" spans="1:4" ht="15.75">
      <c r="A20" s="97" t="s">
        <v>85</v>
      </c>
      <c r="B20" s="7">
        <f t="shared" si="1"/>
        <v>0</v>
      </c>
      <c r="C20" s="7">
        <v>0</v>
      </c>
      <c r="D20" s="92">
        <f t="shared" si="0"/>
        <v>0</v>
      </c>
    </row>
    <row r="21" spans="1:4" ht="16.5" thickBot="1">
      <c r="A21" s="97" t="s">
        <v>86</v>
      </c>
      <c r="B21" s="7">
        <f t="shared" si="1"/>
        <v>198640.05</v>
      </c>
      <c r="C21" s="7">
        <v>198640.05</v>
      </c>
      <c r="D21" s="92">
        <f t="shared" si="0"/>
        <v>0</v>
      </c>
    </row>
    <row r="22" spans="1:7" s="102" customFormat="1" ht="16.5" thickBot="1">
      <c r="A22" s="98" t="s">
        <v>144</v>
      </c>
      <c r="B22" s="99">
        <f>SUM(B8:B21)</f>
        <v>91971388.99000001</v>
      </c>
      <c r="C22" s="99">
        <f>SUM(C8:C21)</f>
        <v>91971388.99000001</v>
      </c>
      <c r="D22" s="100">
        <f>SUM(D8:D21)</f>
        <v>0</v>
      </c>
      <c r="E22" s="101"/>
      <c r="F22" s="101"/>
      <c r="G22" s="101"/>
    </row>
    <row r="23" spans="1:4" ht="9" customHeight="1">
      <c r="A23" s="103"/>
      <c r="B23" s="7"/>
      <c r="C23" s="16"/>
      <c r="D23" s="106"/>
    </row>
    <row r="24" spans="1:4" ht="12.75" customHeight="1">
      <c r="A24" s="105"/>
      <c r="B24" s="7"/>
      <c r="C24" s="16"/>
      <c r="D24" s="104"/>
    </row>
    <row r="25" spans="1:6" ht="16.5" thickBot="1">
      <c r="A25" s="113" t="s">
        <v>100</v>
      </c>
      <c r="B25" s="10">
        <f>+B6+B22</f>
        <v>99349625.99000001</v>
      </c>
      <c r="C25" s="10">
        <f>+C6+C22</f>
        <v>97684818.99000001</v>
      </c>
      <c r="D25" s="107">
        <f>+D6+D22</f>
        <v>1664807</v>
      </c>
      <c r="F25" s="82"/>
    </row>
    <row r="26" spans="1:4" ht="15.75">
      <c r="A26" s="105"/>
      <c r="B26" s="7"/>
      <c r="C26" s="16"/>
      <c r="D26" s="112"/>
    </row>
    <row r="27" ht="15">
      <c r="D27" s="82"/>
    </row>
    <row r="28" spans="2:4" ht="15.75" hidden="1">
      <c r="B28" s="7" t="s">
        <v>87</v>
      </c>
      <c r="C28" s="7" t="s">
        <v>88</v>
      </c>
      <c r="D28" s="82"/>
    </row>
    <row r="29" spans="1:4" ht="15" hidden="1">
      <c r="A29" t="s">
        <v>89</v>
      </c>
      <c r="B29" s="9">
        <v>32367971</v>
      </c>
      <c r="C29" s="9">
        <v>32195789</v>
      </c>
      <c r="D29" s="82">
        <f>+B29-C29</f>
        <v>172182</v>
      </c>
    </row>
    <row r="30" spans="1:4" ht="15" hidden="1">
      <c r="A30" t="s">
        <v>90</v>
      </c>
      <c r="B30" s="9">
        <v>38717695</v>
      </c>
      <c r="C30" s="9">
        <f>35407948+1332619+1456936+196796-158585+479709+2273</f>
        <v>38717696</v>
      </c>
      <c r="D30" s="82">
        <f>+B30-C30</f>
        <v>-1</v>
      </c>
    </row>
    <row r="31" spans="1:4" ht="15" hidden="1">
      <c r="A31" t="s">
        <v>74</v>
      </c>
      <c r="B31" s="9">
        <v>4790608</v>
      </c>
      <c r="C31" s="9">
        <f>4643323*0.98</f>
        <v>4550456.54</v>
      </c>
      <c r="D31" s="82">
        <f>+B31-C31</f>
        <v>240151.45999999996</v>
      </c>
    </row>
    <row r="32" spans="2:4" ht="15.75" hidden="1" thickBot="1">
      <c r="B32" s="62">
        <f>SUM(B29:B31)</f>
        <v>75876274</v>
      </c>
      <c r="C32" s="62">
        <f>SUM(C29:C31)</f>
        <v>75463941.54</v>
      </c>
      <c r="D32" s="62">
        <f>SUM(D29:D31)</f>
        <v>412332.45999999996</v>
      </c>
    </row>
    <row r="33" ht="15" hidden="1">
      <c r="D33" s="82"/>
    </row>
    <row r="34" spans="1:4" ht="15" hidden="1">
      <c r="A34" t="s">
        <v>78</v>
      </c>
      <c r="D34" s="82"/>
    </row>
    <row r="35" ht="15" hidden="1">
      <c r="D35" s="82"/>
    </row>
    <row r="36" ht="15" hidden="1">
      <c r="D36" s="82"/>
    </row>
    <row r="37" ht="15">
      <c r="D37" s="82"/>
    </row>
    <row r="38" spans="2:4" ht="15">
      <c r="B38" s="63"/>
      <c r="D38" s="8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54.140625" style="142" customWidth="1"/>
    <col min="2" max="2" width="17.7109375" style="8" customWidth="1"/>
    <col min="3" max="4" width="16.140625" style="141" customWidth="1"/>
    <col min="5" max="5" width="14.8515625" style="141" customWidth="1"/>
    <col min="6" max="8" width="13.421875" style="0" customWidth="1"/>
  </cols>
  <sheetData>
    <row r="1" spans="1:5" ht="18">
      <c r="A1" s="247" t="s">
        <v>6</v>
      </c>
      <c r="B1" s="135"/>
      <c r="C1" s="122"/>
      <c r="D1" s="122"/>
      <c r="E1" s="122"/>
    </row>
    <row r="2" spans="1:5" ht="18">
      <c r="A2" s="247" t="s">
        <v>111</v>
      </c>
      <c r="B2" s="135"/>
      <c r="C2" s="122"/>
      <c r="D2" s="122"/>
      <c r="E2" s="122"/>
    </row>
    <row r="3" spans="1:5" ht="12.75">
      <c r="A3" s="123"/>
      <c r="B3" s="135"/>
      <c r="C3" s="122"/>
      <c r="D3" s="122"/>
      <c r="E3" s="122"/>
    </row>
    <row r="4" spans="1:6" s="129" customFormat="1" ht="26.25" thickBot="1">
      <c r="A4" s="124" t="s">
        <v>1</v>
      </c>
      <c r="B4" s="145" t="s">
        <v>115</v>
      </c>
      <c r="C4" s="125" t="s">
        <v>116</v>
      </c>
      <c r="D4" s="126"/>
      <c r="E4" s="127"/>
      <c r="F4" s="128"/>
    </row>
    <row r="5" spans="1:6" ht="12.75">
      <c r="A5" s="123" t="s">
        <v>112</v>
      </c>
      <c r="B5" s="146">
        <f>78748810</f>
        <v>78748810</v>
      </c>
      <c r="C5" s="130">
        <f>+B11</f>
        <v>88018672</v>
      </c>
      <c r="D5" s="122"/>
      <c r="E5" s="131"/>
      <c r="F5" s="132"/>
    </row>
    <row r="6" spans="1:6" ht="12.75">
      <c r="A6" s="123" t="s">
        <v>61</v>
      </c>
      <c r="B6" s="77">
        <v>4841687</v>
      </c>
      <c r="C6" s="77">
        <f>+B11*D6</f>
        <v>0</v>
      </c>
      <c r="D6" s="134">
        <f>+'Budget Premisis'!B6</f>
        <v>0</v>
      </c>
      <c r="E6" s="131"/>
      <c r="F6" s="132"/>
    </row>
    <row r="7" spans="1:6" ht="12.75">
      <c r="A7" s="123" t="s">
        <v>184</v>
      </c>
      <c r="B7" s="135">
        <f>+'FTES Growth Allocations'!E29</f>
        <v>0</v>
      </c>
      <c r="D7" s="136"/>
      <c r="E7" s="133"/>
      <c r="F7" s="132"/>
    </row>
    <row r="8" spans="1:6" ht="12.75">
      <c r="A8" s="123" t="s">
        <v>185</v>
      </c>
      <c r="B8" s="135">
        <f>+'FTES Decline Mechanism'!E30</f>
        <v>0</v>
      </c>
      <c r="D8" s="136"/>
      <c r="E8" s="133"/>
      <c r="F8" s="132"/>
    </row>
    <row r="9" spans="1:6" ht="12.75">
      <c r="A9" s="123" t="s">
        <v>186</v>
      </c>
      <c r="B9" s="135">
        <f>IF('FTES Decline Mechanism'!B41="yes",'FTES Decline Mechanism'!E37+'FTES Growth Allocations'!E29,0)</f>
        <v>0</v>
      </c>
      <c r="D9" s="220"/>
      <c r="E9" s="133"/>
      <c r="F9" s="132"/>
    </row>
    <row r="10" spans="1:6" ht="13.5" thickBot="1">
      <c r="A10" s="123" t="s">
        <v>113</v>
      </c>
      <c r="B10" s="77">
        <f>+'[3]Income to be Allocated'!C19</f>
        <v>4428175</v>
      </c>
      <c r="C10" s="133"/>
      <c r="D10" s="122"/>
      <c r="E10" s="131"/>
      <c r="F10" s="132"/>
    </row>
    <row r="11" spans="1:6" ht="13.5" thickBot="1">
      <c r="A11" s="137" t="s">
        <v>114</v>
      </c>
      <c r="B11" s="147">
        <f>SUM(B5:B10)</f>
        <v>88018672</v>
      </c>
      <c r="C11" s="138">
        <f>SUM(C5:C10)</f>
        <v>88018672</v>
      </c>
      <c r="D11" s="122"/>
      <c r="E11" s="131"/>
      <c r="F11" s="132"/>
    </row>
    <row r="12" spans="1:6" ht="12.75">
      <c r="A12" s="123"/>
      <c r="B12" s="148"/>
      <c r="C12" s="139"/>
      <c r="D12" s="122"/>
      <c r="E12" s="131"/>
      <c r="F12" s="132"/>
    </row>
    <row r="13" spans="1:6" ht="12.75">
      <c r="A13" s="123"/>
      <c r="B13" s="140"/>
      <c r="C13" s="139">
        <f>+B11-C11</f>
        <v>0</v>
      </c>
      <c r="D13" s="122"/>
      <c r="E13" s="131"/>
      <c r="F13" s="132"/>
    </row>
    <row r="14" ht="12.75">
      <c r="B14" s="149"/>
    </row>
    <row r="15" spans="1:5" ht="12.75">
      <c r="A15" s="143"/>
      <c r="B15" s="150"/>
      <c r="C15" s="144"/>
      <c r="D15" s="144"/>
      <c r="E15" s="144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8515625" style="0" customWidth="1"/>
    <col min="2" max="2" width="19.28125" style="0" customWidth="1"/>
    <col min="3" max="3" width="26.57421875" style="4" customWidth="1"/>
    <col min="4" max="5" width="19.8515625" style="4" customWidth="1"/>
    <col min="6" max="6" width="19.8515625" style="4" hidden="1" customWidth="1"/>
    <col min="7" max="7" width="22.57421875" style="72" customWidth="1"/>
    <col min="8" max="8" width="18.28125" style="0" customWidth="1"/>
  </cols>
  <sheetData>
    <row r="1" spans="1:5" ht="18">
      <c r="A1" s="1" t="s">
        <v>6</v>
      </c>
      <c r="B1" s="72"/>
      <c r="C1"/>
      <c r="D1"/>
      <c r="E1"/>
    </row>
    <row r="2" spans="1:7" s="102" customFormat="1" ht="18">
      <c r="A2" s="116"/>
      <c r="B2" s="116"/>
      <c r="C2" s="120"/>
      <c r="D2" s="119"/>
      <c r="E2" s="119"/>
      <c r="F2" s="119"/>
      <c r="G2" s="121"/>
    </row>
    <row r="3" spans="1:2" ht="18">
      <c r="A3" s="1" t="s">
        <v>7</v>
      </c>
      <c r="B3" s="1"/>
    </row>
    <row r="5" spans="1:8" s="114" customFormat="1" ht="48" thickBot="1">
      <c r="A5" s="109" t="s">
        <v>1</v>
      </c>
      <c r="B5" s="109" t="s">
        <v>106</v>
      </c>
      <c r="C5" s="3" t="s">
        <v>136</v>
      </c>
      <c r="D5" s="3" t="s">
        <v>137</v>
      </c>
      <c r="E5" s="3" t="s">
        <v>138</v>
      </c>
      <c r="F5" s="3" t="s">
        <v>97</v>
      </c>
      <c r="G5" s="3" t="s">
        <v>110</v>
      </c>
      <c r="H5" s="3"/>
    </row>
    <row r="7" spans="1:7" s="8" customFormat="1" ht="15">
      <c r="A7" s="9"/>
      <c r="B7" s="9"/>
      <c r="C7" s="9"/>
      <c r="D7" s="9"/>
      <c r="E7" s="9"/>
      <c r="F7" s="9"/>
      <c r="G7" s="14"/>
    </row>
    <row r="8" spans="1:7" s="8" customFormat="1" ht="15.75">
      <c r="A8" s="7" t="s">
        <v>2</v>
      </c>
      <c r="B8" s="14">
        <v>11712.88</v>
      </c>
      <c r="C8" s="9">
        <f>IF(B8&gt;=10000,3500000,3000000)</f>
        <v>3500000</v>
      </c>
      <c r="D8" s="12"/>
      <c r="E8" s="9">
        <f>SUM(C8:D8)*1.0592</f>
        <v>3707199.9999999995</v>
      </c>
      <c r="F8" s="12"/>
      <c r="G8" s="14">
        <f>SUM(E8:F8)*'Budget Premisis'!$B$6</f>
        <v>0</v>
      </c>
    </row>
    <row r="9" spans="1:7" s="8" customFormat="1" ht="15">
      <c r="A9" s="11" t="s">
        <v>230</v>
      </c>
      <c r="B9" s="15">
        <v>0</v>
      </c>
      <c r="C9" s="13"/>
      <c r="D9" s="9">
        <f>IF(B9&gt;=1000,1000000,IF(B9&gt;=750,750000,IF(B9&gt;=500,500000,IF(B9&gt;=250,250000,IF(B9&gt;=100,125000,0)))))</f>
        <v>0</v>
      </c>
      <c r="E9" s="9">
        <f>SUM(C9:D9)</f>
        <v>0</v>
      </c>
      <c r="F9" s="12"/>
      <c r="G9" s="14">
        <f>SUM(E9:F9)*'Budget Premisis'!$B$6</f>
        <v>0</v>
      </c>
    </row>
    <row r="10" spans="1:7" s="8" customFormat="1" ht="15">
      <c r="A10" s="11" t="s">
        <v>103</v>
      </c>
      <c r="B10" s="115"/>
      <c r="C10" s="13"/>
      <c r="D10" s="9">
        <v>1000000</v>
      </c>
      <c r="E10" s="9">
        <f>SUM(C10:D10)*1.0592</f>
        <v>1059200</v>
      </c>
      <c r="F10" s="12"/>
      <c r="G10" s="14">
        <f>SUM(E10:F10)*'Budget Premisis'!$B$6</f>
        <v>0</v>
      </c>
    </row>
    <row r="11" spans="1:7" s="8" customFormat="1" ht="15">
      <c r="A11" s="9"/>
      <c r="B11" s="14"/>
      <c r="C11" s="12"/>
      <c r="D11" s="12"/>
      <c r="E11" s="9"/>
      <c r="F11" s="12"/>
      <c r="G11" s="14"/>
    </row>
    <row r="12" spans="1:7" s="8" customFormat="1" ht="15.75">
      <c r="A12" s="7" t="s">
        <v>3</v>
      </c>
      <c r="B12" s="14">
        <v>2955</v>
      </c>
      <c r="C12" s="9">
        <f>IF(B12&gt;=10000,3500000,3000000)</f>
        <v>3000000</v>
      </c>
      <c r="D12" s="12"/>
      <c r="E12" s="9">
        <f>SUM(C12:D12)*1.0592</f>
        <v>3177599.9999999995</v>
      </c>
      <c r="F12" s="12"/>
      <c r="G12" s="14">
        <f>SUM(E12:F12)*'Budget Premisis'!$B$6</f>
        <v>0</v>
      </c>
    </row>
    <row r="13" spans="1:7" s="8" customFormat="1" ht="15">
      <c r="A13" s="9" t="s">
        <v>102</v>
      </c>
      <c r="B13" s="12"/>
      <c r="C13" s="12"/>
      <c r="D13" s="9">
        <v>1000000</v>
      </c>
      <c r="E13" s="9">
        <f>SUM(C13:D13)*1.0592</f>
        <v>1059200</v>
      </c>
      <c r="F13" s="12"/>
      <c r="G13" s="14">
        <f>SUM(E13:F13)*'Budget Premisis'!$B$6</f>
        <v>0</v>
      </c>
    </row>
    <row r="14" spans="1:7" s="8" customFormat="1" ht="15">
      <c r="A14" s="9" t="s">
        <v>105</v>
      </c>
      <c r="B14" s="115"/>
      <c r="C14" s="12"/>
      <c r="D14" s="12"/>
      <c r="E14" s="9">
        <f>SUM(C14:D14)</f>
        <v>0</v>
      </c>
      <c r="F14" s="12"/>
      <c r="G14" s="14">
        <f>SUM(E14:F14)*'Budget Premisis'!$B$6</f>
        <v>0</v>
      </c>
    </row>
    <row r="15" spans="1:7" s="8" customFormat="1" ht="15">
      <c r="A15" s="9" t="s">
        <v>104</v>
      </c>
      <c r="B15" s="15">
        <v>68</v>
      </c>
      <c r="C15" s="12"/>
      <c r="D15" s="9">
        <f>IF(B15&gt;=1000,1000000,IF(B15&gt;=750,750000,IF(B15&gt;=500,500000,IF(B15&gt;=250,250000,IF(B15&gt;=100,125000,0)))))</f>
        <v>0</v>
      </c>
      <c r="E15" s="9">
        <f>SUM(C15:D15)</f>
        <v>0</v>
      </c>
      <c r="F15" s="12"/>
      <c r="G15" s="14">
        <f>SUM(E15:F15)*'Budget Premisis'!$B$6</f>
        <v>0</v>
      </c>
    </row>
    <row r="16" spans="1:7" s="8" customFormat="1" ht="15">
      <c r="A16" s="9"/>
      <c r="B16" s="14"/>
      <c r="C16" s="12"/>
      <c r="D16" s="12"/>
      <c r="E16" s="9"/>
      <c r="F16" s="12"/>
      <c r="G16" s="14"/>
    </row>
    <row r="17" spans="1:7" s="8" customFormat="1" ht="15.75">
      <c r="A17" s="7" t="s">
        <v>4</v>
      </c>
      <c r="B17" s="14">
        <v>2962.69</v>
      </c>
      <c r="C17" s="9">
        <f>IF(B17&gt;=10000,3500000,3000000)</f>
        <v>3000000</v>
      </c>
      <c r="D17" s="12"/>
      <c r="E17" s="9">
        <f>SUM(C17:D17)*1.0592</f>
        <v>3177599.9999999995</v>
      </c>
      <c r="F17" s="12"/>
      <c r="G17" s="14">
        <f>SUM(E17:F17)*'Budget Premisis'!$B$6</f>
        <v>0</v>
      </c>
    </row>
    <row r="18" spans="1:7" s="8" customFormat="1" ht="15">
      <c r="A18" s="9"/>
      <c r="B18" s="9"/>
      <c r="C18" s="9"/>
      <c r="D18" s="9"/>
      <c r="E18" s="9"/>
      <c r="F18" s="9"/>
      <c r="G18" s="14"/>
    </row>
    <row r="19" spans="1:7" s="8" customFormat="1" ht="15">
      <c r="A19" s="9"/>
      <c r="B19" s="9"/>
      <c r="C19" s="9"/>
      <c r="D19" s="9"/>
      <c r="E19" s="9"/>
      <c r="F19" s="9"/>
      <c r="G19" s="14"/>
    </row>
    <row r="20" spans="3:7" s="8" customFormat="1" ht="15">
      <c r="C20" s="9"/>
      <c r="D20" s="9"/>
      <c r="E20" s="9"/>
      <c r="F20" s="9"/>
      <c r="G20" s="14"/>
    </row>
    <row r="21" spans="3:7" s="8" customFormat="1" ht="15">
      <c r="C21" s="9"/>
      <c r="D21" s="9"/>
      <c r="E21" s="9"/>
      <c r="F21" s="9"/>
      <c r="G21" s="14"/>
    </row>
    <row r="22" spans="3:7" s="8" customFormat="1" ht="15">
      <c r="C22" s="9"/>
      <c r="D22" s="9"/>
      <c r="E22" s="9"/>
      <c r="F22" s="9"/>
      <c r="G22" s="14"/>
    </row>
    <row r="23" spans="3:7" s="8" customFormat="1" ht="15">
      <c r="C23" s="9"/>
      <c r="D23" s="9"/>
      <c r="E23" s="9"/>
      <c r="F23" s="9"/>
      <c r="G23" s="14"/>
    </row>
    <row r="24" spans="3:7" s="8" customFormat="1" ht="15">
      <c r="C24" s="9"/>
      <c r="D24" s="9"/>
      <c r="E24" s="9"/>
      <c r="F24" s="9"/>
      <c r="G24" s="14"/>
    </row>
    <row r="25" spans="3:7" s="8" customFormat="1" ht="15">
      <c r="C25" s="9"/>
      <c r="D25" s="9"/>
      <c r="E25" s="9"/>
      <c r="F25" s="9"/>
      <c r="G25" s="14"/>
    </row>
    <row r="26" spans="3:7" s="8" customFormat="1" ht="15">
      <c r="C26" s="9"/>
      <c r="D26" s="9"/>
      <c r="E26" s="9"/>
      <c r="F26" s="9"/>
      <c r="G26" s="14"/>
    </row>
    <row r="27" spans="3:7" s="8" customFormat="1" ht="15">
      <c r="C27" s="9"/>
      <c r="D27" s="9"/>
      <c r="E27" s="9"/>
      <c r="F27" s="9"/>
      <c r="G27" s="14"/>
    </row>
    <row r="28" spans="3:7" s="8" customFormat="1" ht="15">
      <c r="C28" s="9"/>
      <c r="D28" s="9"/>
      <c r="E28" s="9"/>
      <c r="F28" s="9"/>
      <c r="G28" s="14"/>
    </row>
    <row r="29" spans="3:7" s="8" customFormat="1" ht="15">
      <c r="C29" s="9"/>
      <c r="D29" s="9"/>
      <c r="E29" s="9"/>
      <c r="F29" s="9"/>
      <c r="G29" s="14"/>
    </row>
    <row r="30" spans="3:7" s="8" customFormat="1" ht="15">
      <c r="C30" s="9"/>
      <c r="D30" s="9"/>
      <c r="E30" s="9"/>
      <c r="F30" s="9"/>
      <c r="G30" s="14"/>
    </row>
    <row r="31" spans="3:7" s="8" customFormat="1" ht="15">
      <c r="C31" s="9"/>
      <c r="D31" s="9"/>
      <c r="E31" s="9"/>
      <c r="F31" s="9"/>
      <c r="G31" s="14"/>
    </row>
    <row r="32" spans="3:7" s="8" customFormat="1" ht="15">
      <c r="C32" s="9"/>
      <c r="D32" s="9"/>
      <c r="E32" s="9"/>
      <c r="F32" s="9"/>
      <c r="G32" s="14"/>
    </row>
    <row r="33" spans="3:7" s="8" customFormat="1" ht="15">
      <c r="C33" s="9"/>
      <c r="D33" s="9"/>
      <c r="E33" s="9"/>
      <c r="F33" s="9"/>
      <c r="G33" s="14"/>
    </row>
    <row r="34" spans="3:7" s="8" customFormat="1" ht="15">
      <c r="C34" s="9"/>
      <c r="D34" s="9"/>
      <c r="E34" s="9"/>
      <c r="F34" s="9"/>
      <c r="G34" s="14"/>
    </row>
    <row r="35" spans="3:7" s="8" customFormat="1" ht="15">
      <c r="C35" s="9"/>
      <c r="D35" s="9"/>
      <c r="E35" s="9"/>
      <c r="F35" s="9"/>
      <c r="G35" s="14"/>
    </row>
    <row r="36" spans="3:7" s="8" customFormat="1" ht="15">
      <c r="C36" s="9"/>
      <c r="D36" s="9"/>
      <c r="E36" s="9"/>
      <c r="F36" s="9"/>
      <c r="G36" s="14"/>
    </row>
    <row r="37" spans="3:7" s="8" customFormat="1" ht="15">
      <c r="C37" s="9"/>
      <c r="D37" s="9"/>
      <c r="E37" s="9"/>
      <c r="F37" s="9"/>
      <c r="G37" s="14"/>
    </row>
    <row r="38" spans="3:7" s="8" customFormat="1" ht="15">
      <c r="C38" s="9"/>
      <c r="D38" s="9"/>
      <c r="E38" s="9"/>
      <c r="F38" s="9"/>
      <c r="G38" s="14"/>
    </row>
    <row r="39" spans="3:7" s="8" customFormat="1" ht="15">
      <c r="C39" s="9"/>
      <c r="D39" s="9"/>
      <c r="E39" s="9"/>
      <c r="F39" s="9"/>
      <c r="G39" s="14"/>
    </row>
    <row r="40" spans="3:7" s="8" customFormat="1" ht="15">
      <c r="C40" s="9"/>
      <c r="D40" s="9"/>
      <c r="E40" s="9"/>
      <c r="F40" s="9"/>
      <c r="G40" s="14"/>
    </row>
    <row r="41" spans="3:7" s="8" customFormat="1" ht="15">
      <c r="C41" s="9"/>
      <c r="D41" s="9"/>
      <c r="E41" s="9"/>
      <c r="F41" s="9"/>
      <c r="G41" s="14"/>
    </row>
    <row r="42" spans="3:7" s="8" customFormat="1" ht="15">
      <c r="C42" s="9"/>
      <c r="D42" s="9"/>
      <c r="E42" s="9"/>
      <c r="F42" s="9"/>
      <c r="G42" s="14"/>
    </row>
    <row r="43" spans="3:7" s="8" customFormat="1" ht="15">
      <c r="C43" s="9"/>
      <c r="D43" s="9"/>
      <c r="E43" s="9"/>
      <c r="F43" s="9"/>
      <c r="G43" s="14"/>
    </row>
    <row r="44" spans="3:7" s="8" customFormat="1" ht="15">
      <c r="C44" s="9"/>
      <c r="D44" s="9"/>
      <c r="E44" s="9"/>
      <c r="F44" s="9"/>
      <c r="G44" s="14"/>
    </row>
    <row r="45" spans="3:7" s="8" customFormat="1" ht="15">
      <c r="C45" s="9"/>
      <c r="D45" s="9"/>
      <c r="E45" s="9"/>
      <c r="F45" s="9"/>
      <c r="G45" s="14"/>
    </row>
  </sheetData>
  <sheetProtection/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D12"/>
  <sheetViews>
    <sheetView zoomScalePageLayoutView="0" workbookViewId="0" topLeftCell="A1">
      <selection activeCell="B6" sqref="B6:D6"/>
    </sheetView>
  </sheetViews>
  <sheetFormatPr defaultColWidth="9.140625" defaultRowHeight="12.75"/>
  <cols>
    <col min="1" max="1" width="23.57421875" style="0" customWidth="1"/>
    <col min="2" max="4" width="18.8515625" style="243" customWidth="1"/>
    <col min="5" max="5" width="18.8515625" style="0" customWidth="1"/>
  </cols>
  <sheetData>
    <row r="1" ht="18">
      <c r="A1" s="1" t="s">
        <v>0</v>
      </c>
    </row>
    <row r="2" ht="15.75">
      <c r="A2" s="2" t="s">
        <v>221</v>
      </c>
    </row>
    <row r="3" ht="16.5" thickBot="1">
      <c r="A3" s="2"/>
    </row>
    <row r="4" spans="2:4" ht="39.75" thickBot="1" thickTop="1">
      <c r="B4" s="244" t="s">
        <v>2</v>
      </c>
      <c r="C4" s="244" t="s">
        <v>3</v>
      </c>
      <c r="D4" s="244" t="s">
        <v>4</v>
      </c>
    </row>
    <row r="5" ht="13.5" thickTop="1"/>
    <row r="6" spans="1:4" ht="12.75">
      <c r="A6" t="s">
        <v>222</v>
      </c>
      <c r="B6" s="243">
        <f>+'Summary Allocations'!D19+'Summary Allocations'!D22+'Summary Allocations'!D41+'Summary Allocations'!D51</f>
        <v>46737707.22309907</v>
      </c>
      <c r="C6" s="243">
        <f>+'Summary Allocations'!E19+'Summary Allocations'!E22+'Summary Allocations'!E41+'Summary Allocations'!E51</f>
        <v>15146616.132344374</v>
      </c>
      <c r="D6" s="243">
        <f>+'Summary Allocations'!F19+'Summary Allocations'!F22+'Summary Allocations'!F41+'Summary Allocations'!F51</f>
        <v>14081223.63455662</v>
      </c>
    </row>
    <row r="8" spans="1:4" ht="12.75">
      <c r="A8" t="s">
        <v>223</v>
      </c>
      <c r="B8" s="243">
        <f>+'Summary Allocations'!D55</f>
        <v>46899464.799691774</v>
      </c>
      <c r="C8" s="243">
        <f>+'Summary Allocations'!E55</f>
        <v>14147547.897234688</v>
      </c>
      <c r="D8" s="243">
        <f>+'Summary Allocations'!F55</f>
        <v>13253725.079102485</v>
      </c>
    </row>
    <row r="10" spans="1:4" ht="12.75">
      <c r="A10" t="s">
        <v>70</v>
      </c>
      <c r="B10" s="243">
        <f>+B6-B8</f>
        <v>-161757.57659270614</v>
      </c>
      <c r="C10" s="243">
        <f>+C6-C8</f>
        <v>999068.2351096869</v>
      </c>
      <c r="D10" s="243">
        <f>+D6-D8</f>
        <v>827498.5554541349</v>
      </c>
    </row>
    <row r="12" spans="1:4" ht="12.75">
      <c r="A12" t="s">
        <v>224</v>
      </c>
      <c r="B12" s="243">
        <f>IF(B10&lt;0,-B10,0)</f>
        <v>161757.57659270614</v>
      </c>
      <c r="C12" s="243">
        <f>IF(C10&lt;0,-C10,0)</f>
        <v>0</v>
      </c>
      <c r="D12" s="243">
        <f>IF(D10&lt;0,-D10,0)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zoomScalePageLayoutView="0" workbookViewId="0" topLeftCell="A40">
      <selection activeCell="C70" sqref="C70"/>
    </sheetView>
  </sheetViews>
  <sheetFormatPr defaultColWidth="9.140625" defaultRowHeight="12.75"/>
  <cols>
    <col min="1" max="2" width="7.8515625" style="18" customWidth="1"/>
    <col min="3" max="3" width="38.421875" style="18" customWidth="1"/>
    <col min="4" max="4" width="9.140625" style="18" customWidth="1"/>
    <col min="5" max="5" width="12.28125" style="19" customWidth="1"/>
    <col min="6" max="6" width="11.7109375" style="18" bestFit="1" customWidth="1"/>
    <col min="7" max="7" width="16.421875" style="18" bestFit="1" customWidth="1"/>
    <col min="8" max="8" width="30.00390625" style="20" customWidth="1"/>
    <col min="9" max="16384" width="9.140625" style="18" customWidth="1"/>
  </cols>
  <sheetData>
    <row r="1" ht="18">
      <c r="A1" s="1" t="s">
        <v>6</v>
      </c>
    </row>
    <row r="2" ht="18">
      <c r="A2" s="1"/>
    </row>
    <row r="3" ht="18">
      <c r="A3" s="17" t="s">
        <v>9</v>
      </c>
    </row>
    <row r="4" ht="13.5" thickBot="1"/>
    <row r="5" spans="1:8" ht="12.75">
      <c r="A5" s="21"/>
      <c r="B5" s="22"/>
      <c r="C5" s="22"/>
      <c r="D5" s="22"/>
      <c r="E5" s="23" t="s">
        <v>10</v>
      </c>
      <c r="F5" s="24" t="s">
        <v>11</v>
      </c>
      <c r="G5" s="25" t="s">
        <v>12</v>
      </c>
      <c r="H5" s="26" t="s">
        <v>13</v>
      </c>
    </row>
    <row r="6" spans="1:8" ht="13.5" thickBot="1">
      <c r="A6" s="27"/>
      <c r="B6" s="28"/>
      <c r="C6" s="28"/>
      <c r="D6" s="28"/>
      <c r="E6" s="29" t="s">
        <v>14</v>
      </c>
      <c r="F6" s="30" t="s">
        <v>14</v>
      </c>
      <c r="G6" s="31" t="s">
        <v>15</v>
      </c>
      <c r="H6" s="32" t="s">
        <v>15</v>
      </c>
    </row>
    <row r="7" spans="1:8" s="19" customFormat="1" ht="12.75">
      <c r="A7" s="33"/>
      <c r="E7" s="34"/>
      <c r="G7" s="35"/>
      <c r="H7" s="36"/>
    </row>
    <row r="8" spans="1:8" s="19" customFormat="1" ht="12.75">
      <c r="A8" s="37" t="s">
        <v>16</v>
      </c>
      <c r="E8" s="38"/>
      <c r="G8" s="35"/>
      <c r="H8" s="36"/>
    </row>
    <row r="9" spans="1:8" s="19" customFormat="1" ht="12.75">
      <c r="A9" s="33"/>
      <c r="B9" s="39" t="s">
        <v>17</v>
      </c>
      <c r="E9" s="38">
        <v>7476</v>
      </c>
      <c r="F9" s="19">
        <v>12481</v>
      </c>
      <c r="G9" s="35">
        <f>+F9-E9</f>
        <v>5005</v>
      </c>
      <c r="H9" s="40">
        <f>IF(G9=0,"No Change",IF(E9=0,"Cost Realignment or New Cost",G9/E9))</f>
        <v>0.6694756554307116</v>
      </c>
    </row>
    <row r="10" spans="1:8" s="19" customFormat="1" ht="12.75">
      <c r="A10" s="33"/>
      <c r="E10" s="38"/>
      <c r="G10" s="35"/>
      <c r="H10" s="36"/>
    </row>
    <row r="11" spans="1:8" s="19" customFormat="1" ht="12.75">
      <c r="A11" s="33"/>
      <c r="E11" s="38"/>
      <c r="G11" s="35"/>
      <c r="H11" s="36"/>
    </row>
    <row r="12" spans="1:8" s="19" customFormat="1" ht="12.75">
      <c r="A12" s="37" t="s">
        <v>18</v>
      </c>
      <c r="E12" s="38" t="s">
        <v>14</v>
      </c>
      <c r="F12" s="19" t="s">
        <v>14</v>
      </c>
      <c r="G12" s="35" t="s">
        <v>14</v>
      </c>
      <c r="H12" s="36" t="s">
        <v>14</v>
      </c>
    </row>
    <row r="13" spans="1:8" ht="12.75">
      <c r="A13" s="41" t="s">
        <v>14</v>
      </c>
      <c r="B13" s="39" t="s">
        <v>19</v>
      </c>
      <c r="E13" s="38">
        <v>135834</v>
      </c>
      <c r="F13" s="18">
        <v>136853</v>
      </c>
      <c r="G13" s="35">
        <f>+F13-E13</f>
        <v>1019</v>
      </c>
      <c r="H13" s="40">
        <f aca="true" t="shared" si="0" ref="H13:H24">IF(G13=0,"No Change",IF(E13=0,"Cost Realignment or New Cost",G13/E13))</f>
        <v>0.0075018036721292165</v>
      </c>
    </row>
    <row r="14" spans="1:8" ht="12.75">
      <c r="A14" s="41"/>
      <c r="B14" s="42" t="s">
        <v>20</v>
      </c>
      <c r="E14" s="38">
        <v>37500</v>
      </c>
      <c r="F14" s="18">
        <v>33500</v>
      </c>
      <c r="G14" s="35">
        <f aca="true" t="shared" si="1" ref="G14:G24">+F14-E14</f>
        <v>-4000</v>
      </c>
      <c r="H14" s="40">
        <f t="shared" si="0"/>
        <v>-0.10666666666666667</v>
      </c>
    </row>
    <row r="15" spans="1:8" ht="12.75">
      <c r="A15" s="41"/>
      <c r="B15" s="42" t="s">
        <v>21</v>
      </c>
      <c r="E15" s="38">
        <v>257850</v>
      </c>
      <c r="F15" s="18">
        <v>369850</v>
      </c>
      <c r="G15" s="35">
        <f t="shared" si="1"/>
        <v>112000</v>
      </c>
      <c r="H15" s="40">
        <f t="shared" si="0"/>
        <v>0.4343610626333139</v>
      </c>
    </row>
    <row r="16" spans="1:8" ht="12.75">
      <c r="A16" s="41"/>
      <c r="B16" s="42" t="s">
        <v>22</v>
      </c>
      <c r="E16" s="38">
        <v>3180</v>
      </c>
      <c r="F16" s="18">
        <v>1800</v>
      </c>
      <c r="G16" s="35">
        <f t="shared" si="1"/>
        <v>-1380</v>
      </c>
      <c r="H16" s="40">
        <f t="shared" si="0"/>
        <v>-0.4339622641509434</v>
      </c>
    </row>
    <row r="17" spans="1:8" ht="12.75">
      <c r="A17" s="41"/>
      <c r="B17" s="42" t="s">
        <v>23</v>
      </c>
      <c r="E17" s="38">
        <v>1100</v>
      </c>
      <c r="F17" s="18">
        <v>1500</v>
      </c>
      <c r="G17" s="35">
        <f t="shared" si="1"/>
        <v>400</v>
      </c>
      <c r="H17" s="40">
        <f t="shared" si="0"/>
        <v>0.36363636363636365</v>
      </c>
    </row>
    <row r="18" spans="1:8" ht="12.75">
      <c r="A18" s="41"/>
      <c r="B18" s="43" t="s">
        <v>24</v>
      </c>
      <c r="E18" s="38"/>
      <c r="F18" s="18">
        <v>1500</v>
      </c>
      <c r="G18" s="35">
        <f t="shared" si="1"/>
        <v>1500</v>
      </c>
      <c r="H18" s="40"/>
    </row>
    <row r="19" spans="1:8" ht="12.75">
      <c r="A19" s="41"/>
      <c r="B19" s="42" t="s">
        <v>25</v>
      </c>
      <c r="E19" s="38">
        <v>149200</v>
      </c>
      <c r="F19" s="18">
        <v>205000</v>
      </c>
      <c r="G19" s="35">
        <f t="shared" si="1"/>
        <v>55800</v>
      </c>
      <c r="H19" s="40">
        <f t="shared" si="0"/>
        <v>0.3739946380697051</v>
      </c>
    </row>
    <row r="20" spans="1:8" ht="12.75">
      <c r="A20" s="41"/>
      <c r="B20" s="42" t="s">
        <v>26</v>
      </c>
      <c r="E20" s="38">
        <v>588535</v>
      </c>
      <c r="F20" s="18">
        <v>703319</v>
      </c>
      <c r="G20" s="35">
        <f t="shared" si="1"/>
        <v>114784</v>
      </c>
      <c r="H20" s="40">
        <f t="shared" si="0"/>
        <v>0.19503343046717697</v>
      </c>
    </row>
    <row r="21" spans="1:8" ht="12.75">
      <c r="A21" s="41"/>
      <c r="B21" s="42" t="s">
        <v>27</v>
      </c>
      <c r="E21" s="38">
        <v>263729</v>
      </c>
      <c r="F21" s="18">
        <v>160263</v>
      </c>
      <c r="G21" s="35">
        <f t="shared" si="1"/>
        <v>-103466</v>
      </c>
      <c r="H21" s="40">
        <f t="shared" si="0"/>
        <v>-0.3923193884631573</v>
      </c>
    </row>
    <row r="22" spans="1:8" ht="12.75">
      <c r="A22" s="41"/>
      <c r="B22" s="42" t="s">
        <v>28</v>
      </c>
      <c r="E22" s="38">
        <v>24681</v>
      </c>
      <c r="F22" s="18">
        <v>15552</v>
      </c>
      <c r="G22" s="35">
        <f t="shared" si="1"/>
        <v>-9129</v>
      </c>
      <c r="H22" s="40">
        <f t="shared" si="0"/>
        <v>-0.36987966451926585</v>
      </c>
    </row>
    <row r="23" spans="1:8" ht="12.75">
      <c r="A23" s="41"/>
      <c r="B23" s="42" t="s">
        <v>29</v>
      </c>
      <c r="E23" s="38">
        <v>53677</v>
      </c>
      <c r="F23" s="18">
        <v>46800</v>
      </c>
      <c r="G23" s="35">
        <f t="shared" si="1"/>
        <v>-6877</v>
      </c>
      <c r="H23" s="40">
        <f t="shared" si="0"/>
        <v>-0.12811818842334705</v>
      </c>
    </row>
    <row r="24" spans="1:8" ht="12.75">
      <c r="A24" s="41"/>
      <c r="B24" s="42" t="s">
        <v>30</v>
      </c>
      <c r="E24" s="38">
        <v>21350</v>
      </c>
      <c r="F24" s="18">
        <v>34500</v>
      </c>
      <c r="G24" s="35">
        <f t="shared" si="1"/>
        <v>13150</v>
      </c>
      <c r="H24" s="40">
        <f t="shared" si="0"/>
        <v>0.6159250585480094</v>
      </c>
    </row>
    <row r="25" spans="1:8" ht="12.75">
      <c r="A25" s="41"/>
      <c r="B25" s="42"/>
      <c r="E25" s="38"/>
      <c r="G25" s="35"/>
      <c r="H25" s="36"/>
    </row>
    <row r="26" spans="1:8" ht="12.75">
      <c r="A26" s="37" t="s">
        <v>31</v>
      </c>
      <c r="E26" s="38" t="s">
        <v>14</v>
      </c>
      <c r="F26" s="18" t="s">
        <v>14</v>
      </c>
      <c r="G26" s="35"/>
      <c r="H26" s="36"/>
    </row>
    <row r="27" spans="1:8" ht="12.75">
      <c r="A27" s="41" t="s">
        <v>14</v>
      </c>
      <c r="B27" s="39" t="s">
        <v>32</v>
      </c>
      <c r="E27" s="38">
        <v>60000</v>
      </c>
      <c r="F27" s="18">
        <v>63000</v>
      </c>
      <c r="G27" s="35">
        <f>+F27-E27</f>
        <v>3000</v>
      </c>
      <c r="H27" s="40">
        <f>IF(G27=0,"No Change",IF(E27=0,"Cost Realignment or New Cost",G27/E27))</f>
        <v>0.05</v>
      </c>
    </row>
    <row r="28" spans="1:8" ht="12.75">
      <c r="A28" s="41"/>
      <c r="B28" s="39" t="s">
        <v>33</v>
      </c>
      <c r="E28" s="38">
        <v>45000</v>
      </c>
      <c r="F28" s="19">
        <v>45000</v>
      </c>
      <c r="G28" s="35">
        <f>+F28-E28</f>
        <v>0</v>
      </c>
      <c r="H28" s="40" t="str">
        <f>IF(G28=0,"No Change",IF(E28=0,"Cost Realignment or New Cost",G28/E28))</f>
        <v>No Change</v>
      </c>
    </row>
    <row r="29" spans="1:8" ht="12.75">
      <c r="A29" s="41" t="s">
        <v>14</v>
      </c>
      <c r="B29" s="39" t="s">
        <v>34</v>
      </c>
      <c r="E29" s="38">
        <v>50000</v>
      </c>
      <c r="F29" s="18">
        <v>100000</v>
      </c>
      <c r="G29" s="35">
        <f>+F29-E29</f>
        <v>50000</v>
      </c>
      <c r="H29" s="40">
        <f>IF(G29=0,"No Change",IF(E29=0,"Cost Realignment or New Cost",G29/E29))</f>
        <v>1</v>
      </c>
    </row>
    <row r="30" spans="1:8" ht="12.75">
      <c r="A30" s="41"/>
      <c r="B30" s="248" t="s">
        <v>35</v>
      </c>
      <c r="C30" s="248"/>
      <c r="E30" s="38">
        <v>15000</v>
      </c>
      <c r="F30" s="19">
        <v>15000</v>
      </c>
      <c r="G30" s="35">
        <f>+F30-E30</f>
        <v>0</v>
      </c>
      <c r="H30" s="40" t="str">
        <f>IF(G30=0,"No Change",IF(E30=0,"Cost Realignment or New Cost",G30/E30))</f>
        <v>No Change</v>
      </c>
    </row>
    <row r="31" spans="1:8" ht="12.75">
      <c r="A31" s="41"/>
      <c r="B31" s="44" t="s">
        <v>36</v>
      </c>
      <c r="C31" s="44"/>
      <c r="E31" s="38"/>
      <c r="F31" s="19">
        <v>484701</v>
      </c>
      <c r="G31" s="35">
        <f>+F31-E31</f>
        <v>484701</v>
      </c>
      <c r="H31" s="40" t="str">
        <f>IF(G31=0,"No Change",IF(E31=0,"Cost Realignment or New Cost",G31/E31))</f>
        <v>Cost Realignment or New Cost</v>
      </c>
    </row>
    <row r="32" spans="1:8" ht="12.75">
      <c r="A32" s="41"/>
      <c r="B32" s="44"/>
      <c r="C32" s="44"/>
      <c r="E32" s="38"/>
      <c r="F32" s="19"/>
      <c r="G32" s="35"/>
      <c r="H32" s="36"/>
    </row>
    <row r="33" spans="1:8" ht="12.75">
      <c r="A33" s="37" t="s">
        <v>37</v>
      </c>
      <c r="E33" s="38"/>
      <c r="G33" s="35">
        <f aca="true" t="shared" si="2" ref="G33:G38">+F33-E33</f>
        <v>0</v>
      </c>
      <c r="H33" s="36">
        <f>IF(G33=0,"",G33/E33)</f>
      </c>
    </row>
    <row r="34" spans="1:8" ht="12.75">
      <c r="A34" s="41" t="s">
        <v>14</v>
      </c>
      <c r="B34" s="39" t="s">
        <v>38</v>
      </c>
      <c r="E34" s="38">
        <v>154917</v>
      </c>
      <c r="F34" s="18">
        <v>84000</v>
      </c>
      <c r="G34" s="35">
        <f t="shared" si="2"/>
        <v>-70917</v>
      </c>
      <c r="H34" s="40">
        <f>IF(G34=0,"No Change",IF(E34=0,"Cost Realignment or New Cost",G34/E34))</f>
        <v>-0.457774162938864</v>
      </c>
    </row>
    <row r="35" spans="1:8" ht="12.75">
      <c r="A35" s="41"/>
      <c r="B35" s="39" t="s">
        <v>39</v>
      </c>
      <c r="E35" s="38">
        <v>15000</v>
      </c>
      <c r="F35" s="18">
        <f>+'[2]HR'!F18</f>
        <v>0</v>
      </c>
      <c r="G35" s="35">
        <f t="shared" si="2"/>
        <v>-15000</v>
      </c>
      <c r="H35" s="40">
        <f>IF(G35=0,"No Change",IF(E35=0,"Cost Realignment or New Cost",G35/E35))</f>
        <v>-1</v>
      </c>
    </row>
    <row r="36" spans="1:8" ht="12.75">
      <c r="A36" s="41" t="s">
        <v>14</v>
      </c>
      <c r="B36" s="39" t="s">
        <v>40</v>
      </c>
      <c r="E36" s="38">
        <v>10000</v>
      </c>
      <c r="F36" s="18">
        <v>10000</v>
      </c>
      <c r="G36" s="35">
        <f t="shared" si="2"/>
        <v>0</v>
      </c>
      <c r="H36" s="40" t="str">
        <f>IF(G36=0,"No Change",IF(E36=0,"Cost Realignment or New Cost",G36/E36))</f>
        <v>No Change</v>
      </c>
    </row>
    <row r="37" spans="1:8" ht="12.75">
      <c r="A37" s="41"/>
      <c r="B37" s="39" t="s">
        <v>231</v>
      </c>
      <c r="E37" s="38"/>
      <c r="F37" s="18">
        <v>40000</v>
      </c>
      <c r="G37" s="35">
        <f t="shared" si="2"/>
        <v>40000</v>
      </c>
      <c r="H37" s="40" t="str">
        <f>IF(G37=0,"No Change",IF(E37=0,"Cost Realignment or New Cost",G37/E37))</f>
        <v>Cost Realignment or New Cost</v>
      </c>
    </row>
    <row r="38" spans="1:8" ht="12.75">
      <c r="A38" s="41" t="s">
        <v>14</v>
      </c>
      <c r="B38" s="39" t="s">
        <v>41</v>
      </c>
      <c r="E38" s="38">
        <v>10000</v>
      </c>
      <c r="F38" s="18">
        <v>18000</v>
      </c>
      <c r="G38" s="35">
        <f t="shared" si="2"/>
        <v>8000</v>
      </c>
      <c r="H38" s="40">
        <f>IF(G38=0,"No Change",IF(E38=0,"Cost Realignment or New Cost",G38/E38))</f>
        <v>0.8</v>
      </c>
    </row>
    <row r="39" spans="1:8" ht="12.75">
      <c r="A39" s="41"/>
      <c r="B39" s="39"/>
      <c r="E39" s="38"/>
      <c r="G39" s="35"/>
      <c r="H39" s="36"/>
    </row>
    <row r="40" spans="1:8" ht="12.75">
      <c r="A40" s="37" t="s">
        <v>42</v>
      </c>
      <c r="E40" s="38" t="s">
        <v>14</v>
      </c>
      <c r="G40" s="35"/>
      <c r="H40" s="36"/>
    </row>
    <row r="41" spans="1:8" ht="12.75">
      <c r="A41" s="33"/>
      <c r="B41" s="19" t="s">
        <v>43</v>
      </c>
      <c r="E41" s="38">
        <v>4527288</v>
      </c>
      <c r="F41" s="18">
        <v>4789188</v>
      </c>
      <c r="G41" s="35">
        <f aca="true" t="shared" si="3" ref="G41:G58">+F41-E41</f>
        <v>261900</v>
      </c>
      <c r="H41" s="40">
        <f aca="true" t="shared" si="4" ref="H41:H58">IF(G41=0,"No Change",IF(E41=0,"Cost Realignment or New Cost",G41/E41))</f>
        <v>0.057849202436425516</v>
      </c>
    </row>
    <row r="42" spans="1:8" ht="12.75">
      <c r="A42" s="33"/>
      <c r="B42" s="45" t="s">
        <v>44</v>
      </c>
      <c r="E42" s="38">
        <v>100000</v>
      </c>
      <c r="F42" s="18">
        <v>200000</v>
      </c>
      <c r="G42" s="35">
        <f>+F42-E42</f>
        <v>100000</v>
      </c>
      <c r="H42" s="40">
        <f t="shared" si="4"/>
        <v>1</v>
      </c>
    </row>
    <row r="43" spans="1:8" ht="12.75">
      <c r="A43" s="33"/>
      <c r="B43" s="46" t="s">
        <v>45</v>
      </c>
      <c r="D43" s="47"/>
      <c r="E43" s="19">
        <v>12000</v>
      </c>
      <c r="F43" s="18">
        <v>12000</v>
      </c>
      <c r="G43" s="35">
        <f t="shared" si="3"/>
        <v>0</v>
      </c>
      <c r="H43" s="40" t="str">
        <f t="shared" si="4"/>
        <v>No Change</v>
      </c>
    </row>
    <row r="44" spans="1:8" ht="12.75">
      <c r="A44" s="33"/>
      <c r="B44" s="48" t="s">
        <v>46</v>
      </c>
      <c r="D44" s="47"/>
      <c r="E44" s="19">
        <v>45000</v>
      </c>
      <c r="F44" s="19">
        <v>45000</v>
      </c>
      <c r="G44" s="35">
        <f t="shared" si="3"/>
        <v>0</v>
      </c>
      <c r="H44" s="40" t="str">
        <f t="shared" si="4"/>
        <v>No Change</v>
      </c>
    </row>
    <row r="45" spans="1:8" s="46" customFormat="1" ht="12.75">
      <c r="A45" s="49"/>
      <c r="B45" s="46" t="s">
        <v>47</v>
      </c>
      <c r="D45" s="50"/>
      <c r="E45" s="19">
        <v>5000</v>
      </c>
      <c r="F45" s="51">
        <v>10000</v>
      </c>
      <c r="G45" s="35">
        <f t="shared" si="3"/>
        <v>5000</v>
      </c>
      <c r="H45" s="40">
        <f t="shared" si="4"/>
        <v>1</v>
      </c>
    </row>
    <row r="46" spans="1:8" s="46" customFormat="1" ht="12.75">
      <c r="A46" s="49"/>
      <c r="B46" s="46" t="s">
        <v>48</v>
      </c>
      <c r="D46" s="50"/>
      <c r="E46" s="19">
        <v>0</v>
      </c>
      <c r="F46" s="51">
        <v>0</v>
      </c>
      <c r="G46" s="35">
        <f t="shared" si="3"/>
        <v>0</v>
      </c>
      <c r="H46" s="40" t="str">
        <f t="shared" si="4"/>
        <v>No Change</v>
      </c>
    </row>
    <row r="47" spans="1:8" s="46" customFormat="1" ht="12.75">
      <c r="A47" s="49"/>
      <c r="B47" s="46" t="s">
        <v>49</v>
      </c>
      <c r="D47" s="50"/>
      <c r="E47" s="19">
        <v>10000</v>
      </c>
      <c r="F47" s="51">
        <v>0</v>
      </c>
      <c r="G47" s="35">
        <f t="shared" si="3"/>
        <v>-10000</v>
      </c>
      <c r="H47" s="40">
        <f t="shared" si="4"/>
        <v>-1</v>
      </c>
    </row>
    <row r="48" spans="1:8" ht="12.75">
      <c r="A48" s="52"/>
      <c r="B48" s="51" t="s">
        <v>50</v>
      </c>
      <c r="C48" s="46"/>
      <c r="E48" s="38">
        <v>26000</v>
      </c>
      <c r="F48" s="18">
        <v>0</v>
      </c>
      <c r="G48" s="35">
        <f t="shared" si="3"/>
        <v>-26000</v>
      </c>
      <c r="H48" s="40">
        <f t="shared" si="4"/>
        <v>-1</v>
      </c>
    </row>
    <row r="49" spans="1:8" ht="12.75">
      <c r="A49" s="52"/>
      <c r="B49" s="53" t="s">
        <v>232</v>
      </c>
      <c r="C49" s="46"/>
      <c r="E49" s="38">
        <v>37250</v>
      </c>
      <c r="F49" s="18">
        <v>37250</v>
      </c>
      <c r="G49" s="35">
        <f>+F49-E49</f>
        <v>0</v>
      </c>
      <c r="H49" s="40" t="str">
        <f t="shared" si="4"/>
        <v>No Change</v>
      </c>
    </row>
    <row r="50" spans="1:8" ht="12.75">
      <c r="A50" s="33"/>
      <c r="B50" s="19" t="s">
        <v>51</v>
      </c>
      <c r="E50" s="38">
        <v>604863.53</v>
      </c>
      <c r="F50" s="18">
        <v>706390</v>
      </c>
      <c r="G50" s="35">
        <f t="shared" si="3"/>
        <v>101526.46999999997</v>
      </c>
      <c r="H50" s="40">
        <f t="shared" si="4"/>
        <v>0.16785020912072507</v>
      </c>
    </row>
    <row r="51" spans="1:8" ht="12.75">
      <c r="A51" s="33"/>
      <c r="B51" s="19" t="s">
        <v>52</v>
      </c>
      <c r="E51" s="38">
        <v>145358</v>
      </c>
      <c r="F51" s="18">
        <v>146229</v>
      </c>
      <c r="G51" s="35">
        <f t="shared" si="3"/>
        <v>871</v>
      </c>
      <c r="H51" s="40">
        <f t="shared" si="4"/>
        <v>0.005992102257873663</v>
      </c>
    </row>
    <row r="52" spans="1:8" ht="12.75">
      <c r="A52" s="33"/>
      <c r="B52" s="19" t="s">
        <v>53</v>
      </c>
      <c r="E52" s="38">
        <v>20000</v>
      </c>
      <c r="F52" s="18">
        <v>20000</v>
      </c>
      <c r="G52" s="35">
        <f t="shared" si="3"/>
        <v>0</v>
      </c>
      <c r="H52" s="40" t="str">
        <f t="shared" si="4"/>
        <v>No Change</v>
      </c>
    </row>
    <row r="53" spans="1:8" ht="12.75">
      <c r="A53" s="33"/>
      <c r="B53" s="19" t="s">
        <v>54</v>
      </c>
      <c r="E53" s="38">
        <v>80000</v>
      </c>
      <c r="F53" s="18">
        <v>80000</v>
      </c>
      <c r="G53" s="35">
        <f t="shared" si="3"/>
        <v>0</v>
      </c>
      <c r="H53" s="40" t="str">
        <f t="shared" si="4"/>
        <v>No Change</v>
      </c>
    </row>
    <row r="54" spans="1:8" ht="12.75">
      <c r="A54" s="33"/>
      <c r="B54" s="19" t="s">
        <v>55</v>
      </c>
      <c r="E54" s="38">
        <v>80000</v>
      </c>
      <c r="F54" s="18">
        <v>80000</v>
      </c>
      <c r="G54" s="35">
        <f t="shared" si="3"/>
        <v>0</v>
      </c>
      <c r="H54" s="40" t="str">
        <f t="shared" si="4"/>
        <v>No Change</v>
      </c>
    </row>
    <row r="55" spans="1:8" ht="12.75">
      <c r="A55" s="33"/>
      <c r="B55" s="19" t="s">
        <v>56</v>
      </c>
      <c r="E55" s="38">
        <v>225000</v>
      </c>
      <c r="F55" s="18">
        <v>0</v>
      </c>
      <c r="G55" s="35">
        <f t="shared" si="3"/>
        <v>-225000</v>
      </c>
      <c r="H55" s="40">
        <f t="shared" si="4"/>
        <v>-1</v>
      </c>
    </row>
    <row r="56" spans="1:8" ht="12.75">
      <c r="A56" s="33"/>
      <c r="B56" s="46" t="s">
        <v>57</v>
      </c>
      <c r="C56" s="46"/>
      <c r="E56" s="38">
        <v>8800</v>
      </c>
      <c r="F56" s="18">
        <v>15800</v>
      </c>
      <c r="G56" s="35">
        <f t="shared" si="3"/>
        <v>7000</v>
      </c>
      <c r="H56" s="40">
        <f t="shared" si="4"/>
        <v>0.7954545454545454</v>
      </c>
    </row>
    <row r="57" spans="1:8" ht="12.75">
      <c r="A57" s="33"/>
      <c r="B57" s="19" t="s">
        <v>58</v>
      </c>
      <c r="E57" s="38">
        <v>100000</v>
      </c>
      <c r="F57" s="19">
        <v>100000</v>
      </c>
      <c r="G57" s="35">
        <f t="shared" si="3"/>
        <v>0</v>
      </c>
      <c r="H57" s="40" t="str">
        <f t="shared" si="4"/>
        <v>No Change</v>
      </c>
    </row>
    <row r="58" spans="1:8" ht="12.75">
      <c r="A58" s="33"/>
      <c r="B58" s="19" t="s">
        <v>59</v>
      </c>
      <c r="E58" s="38">
        <v>255000</v>
      </c>
      <c r="F58" s="18">
        <v>255000</v>
      </c>
      <c r="G58" s="35">
        <f t="shared" si="3"/>
        <v>0</v>
      </c>
      <c r="H58" s="40" t="str">
        <f t="shared" si="4"/>
        <v>No Change</v>
      </c>
    </row>
    <row r="59" spans="1:8" s="46" customFormat="1" ht="13.5" thickBot="1">
      <c r="A59" s="52"/>
      <c r="B59" s="51"/>
      <c r="E59" s="54"/>
      <c r="G59" s="35">
        <f>SUM(F59-E59)</f>
        <v>0</v>
      </c>
      <c r="H59" s="36"/>
    </row>
    <row r="60" spans="1:8" ht="13.5" thickBot="1">
      <c r="A60" s="55" t="s">
        <v>14</v>
      </c>
      <c r="B60" s="56" t="s">
        <v>60</v>
      </c>
      <c r="C60" s="57"/>
      <c r="D60" s="57"/>
      <c r="E60" s="58">
        <f>SUM(E9:E59)</f>
        <v>8185588.53</v>
      </c>
      <c r="F60" s="59">
        <f>SUM(F9:F59)</f>
        <v>9079476</v>
      </c>
      <c r="G60" s="57">
        <f>SUM(G9:G59)</f>
        <v>893887.47</v>
      </c>
      <c r="H60" s="60">
        <f>SUM(G60/E60)</f>
        <v>0.1092025902259712</v>
      </c>
    </row>
    <row r="61" ht="13.5" thickTop="1">
      <c r="F61" s="19"/>
    </row>
    <row r="62" ht="13.5" thickBot="1"/>
    <row r="63" spans="2:6" ht="13.5" thickBot="1">
      <c r="B63" s="56" t="s">
        <v>162</v>
      </c>
      <c r="C63" s="57"/>
      <c r="D63" s="57"/>
      <c r="E63" s="57"/>
      <c r="F63" s="57">
        <f>6926366</f>
        <v>6926366</v>
      </c>
    </row>
    <row r="64" ht="14.25" thickBot="1" thickTop="1"/>
    <row r="65" spans="2:7" ht="13.5" thickBot="1">
      <c r="B65" s="56" t="s">
        <v>163</v>
      </c>
      <c r="C65" s="57"/>
      <c r="D65" s="57"/>
      <c r="E65" s="57"/>
      <c r="F65" s="57">
        <v>2.5E-12</v>
      </c>
      <c r="G65" s="18" t="s">
        <v>164</v>
      </c>
    </row>
    <row r="66" ht="13.5" thickTop="1"/>
    <row r="68" spans="2:4" ht="12.75">
      <c r="B68" s="190" t="s">
        <v>165</v>
      </c>
      <c r="D68" s="191">
        <f>+F63/'FTES Growth Allocations'!E25</f>
        <v>398.42399023032704</v>
      </c>
    </row>
    <row r="69" spans="2:4" ht="12.75">
      <c r="B69" s="190" t="s">
        <v>229</v>
      </c>
      <c r="D69" s="191">
        <f>+F60/'FTES Growth Allocations'!E25</f>
        <v>522.276913625484</v>
      </c>
    </row>
    <row r="70" spans="2:5" ht="12.75">
      <c r="B70" s="190" t="s">
        <v>160</v>
      </c>
      <c r="D70" s="18">
        <f>+F65/'FTES Growth Allocations'!E25</f>
        <v>1.4380700869342128E-16</v>
      </c>
      <c r="E70" s="18" t="s">
        <v>164</v>
      </c>
    </row>
  </sheetData>
  <sheetProtection/>
  <mergeCells count="1">
    <mergeCell ref="B30:C30"/>
  </mergeCells>
  <printOptions/>
  <pageMargins left="0.25" right="0.25" top="0.25" bottom="0.25" header="0.5" footer="0.5"/>
  <pageSetup fitToHeight="1" fitToWidth="1" horizontalDpi="600" verticalDpi="600" orientation="landscape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50.7109375" style="0" customWidth="1"/>
    <col min="2" max="2" width="19.28125" style="0" customWidth="1"/>
    <col min="3" max="3" width="26.57421875" style="4" customWidth="1"/>
    <col min="4" max="5" width="19.8515625" style="4" customWidth="1"/>
    <col min="7" max="7" width="17.28125" style="0" customWidth="1"/>
  </cols>
  <sheetData>
    <row r="1" spans="1:5" ht="18">
      <c r="A1" s="1" t="s">
        <v>6</v>
      </c>
      <c r="B1" s="72"/>
      <c r="C1"/>
      <c r="D1"/>
      <c r="E1"/>
    </row>
    <row r="2" spans="1:2" s="102" customFormat="1" ht="15.75">
      <c r="A2" s="120"/>
      <c r="B2" s="121"/>
    </row>
    <row r="3" spans="1:2" ht="18">
      <c r="A3" s="1" t="s">
        <v>156</v>
      </c>
      <c r="B3" s="1"/>
    </row>
    <row r="5" spans="1:5" s="5" customFormat="1" ht="32.25" thickBot="1">
      <c r="A5" s="6" t="s">
        <v>1</v>
      </c>
      <c r="B5" s="3" t="s">
        <v>2</v>
      </c>
      <c r="C5" s="3" t="s">
        <v>3</v>
      </c>
      <c r="D5" s="3" t="s">
        <v>4</v>
      </c>
      <c r="E5" s="3" t="s">
        <v>157</v>
      </c>
    </row>
    <row r="7" ht="16.5" thickBot="1">
      <c r="A7" s="69" t="s">
        <v>8</v>
      </c>
    </row>
    <row r="8" spans="1:5" s="8" customFormat="1" ht="15">
      <c r="A8" s="9" t="s">
        <v>63</v>
      </c>
      <c r="B8" s="65">
        <f>(11596.99-B9)</f>
        <v>11548.65</v>
      </c>
      <c r="C8" s="64">
        <f>(3063.02-C9)</f>
        <v>2874.05</v>
      </c>
      <c r="D8" s="68">
        <f>(3027.37-D9)</f>
        <v>2961.71</v>
      </c>
      <c r="E8" s="64">
        <f>SUM(B8:D8)</f>
        <v>17384.41</v>
      </c>
    </row>
    <row r="9" spans="1:5" s="8" customFormat="1" ht="15.75" thickBot="1">
      <c r="A9" s="9" t="s">
        <v>64</v>
      </c>
      <c r="B9" s="64">
        <f>2.15+46.19</f>
        <v>48.339999999999996</v>
      </c>
      <c r="C9" s="64">
        <f>3.6+3.09+182.28</f>
        <v>188.97</v>
      </c>
      <c r="D9" s="68">
        <f>3.61+62.05</f>
        <v>65.66</v>
      </c>
      <c r="E9" s="64">
        <f>SUM(B9:D9)</f>
        <v>302.97</v>
      </c>
    </row>
    <row r="10" spans="1:5" s="8" customFormat="1" ht="15.75" thickBot="1">
      <c r="A10" s="66" t="s">
        <v>5</v>
      </c>
      <c r="B10" s="67">
        <f>SUM(B8:B9)</f>
        <v>11596.99</v>
      </c>
      <c r="C10" s="67">
        <f>SUM(C8:C9)</f>
        <v>3063.02</v>
      </c>
      <c r="D10" s="67">
        <f>SUM(D8:D9)</f>
        <v>3027.37</v>
      </c>
      <c r="E10" s="67">
        <f>SUM(E8:E9)</f>
        <v>17687.38</v>
      </c>
    </row>
    <row r="11" spans="1:5" s="8" customFormat="1" ht="15.75">
      <c r="A11" s="7"/>
      <c r="B11" s="14"/>
      <c r="C11" s="9"/>
      <c r="D11" s="61"/>
      <c r="E11" s="64"/>
    </row>
    <row r="12" spans="1:5" s="8" customFormat="1" ht="15">
      <c r="A12" s="9"/>
      <c r="C12" s="9"/>
      <c r="D12" s="9"/>
      <c r="E12" s="9"/>
    </row>
    <row r="13" spans="1:5" s="8" customFormat="1" ht="16.5" thickBot="1">
      <c r="A13" s="10" t="s">
        <v>96</v>
      </c>
      <c r="C13" s="9"/>
      <c r="D13" s="9"/>
      <c r="E13" s="9"/>
    </row>
    <row r="14" spans="1:5" s="8" customFormat="1" ht="32.25" thickBot="1">
      <c r="A14" s="9"/>
      <c r="B14" s="3" t="s">
        <v>2</v>
      </c>
      <c r="C14" s="3" t="s">
        <v>3</v>
      </c>
      <c r="D14" s="3" t="s">
        <v>4</v>
      </c>
      <c r="E14" s="3" t="s">
        <v>157</v>
      </c>
    </row>
    <row r="15" spans="1:5" s="8" customFormat="1" ht="16.5" thickBot="1">
      <c r="A15" s="10" t="s">
        <v>92</v>
      </c>
      <c r="C15" s="9"/>
      <c r="D15" s="9"/>
      <c r="E15" s="9"/>
    </row>
    <row r="16" spans="1:4" s="70" customFormat="1" ht="15">
      <c r="A16" s="70" t="s">
        <v>204</v>
      </c>
      <c r="B16" s="70">
        <f>(+'Income to be Allocated'!C22-'Summary Allocations'!K19-E21)/'Base FTES Allocations'!E8</f>
        <v>4544.013272236447</v>
      </c>
      <c r="C16" s="70">
        <f>+B16</f>
        <v>4544.013272236447</v>
      </c>
      <c r="D16" s="70">
        <f>+C16</f>
        <v>4544.013272236447</v>
      </c>
    </row>
    <row r="17" spans="1:4" s="70" customFormat="1" ht="15">
      <c r="A17" s="70" t="s">
        <v>205</v>
      </c>
      <c r="B17" s="70">
        <f>+'Budget Premisis'!B8</f>
        <v>2626</v>
      </c>
      <c r="C17" s="70">
        <f>+B17</f>
        <v>2626</v>
      </c>
      <c r="D17" s="70">
        <f>+C17</f>
        <v>2626</v>
      </c>
    </row>
    <row r="18" s="70" customFormat="1" ht="15"/>
    <row r="19" spans="1:5" s="8" customFormat="1" ht="16.5" thickBot="1">
      <c r="A19" s="74" t="s">
        <v>98</v>
      </c>
      <c r="C19" s="9"/>
      <c r="D19" s="9"/>
      <c r="E19" s="9"/>
    </row>
    <row r="20" spans="1:5" s="8" customFormat="1" ht="15">
      <c r="A20" s="70" t="s">
        <v>204</v>
      </c>
      <c r="B20" s="71">
        <f aca="true" t="shared" si="0" ref="B20:D21">+B16*B8</f>
        <v>52477218.87641344</v>
      </c>
      <c r="C20" s="71">
        <f t="shared" si="0"/>
        <v>13059721.345071161</v>
      </c>
      <c r="D20" s="71">
        <f t="shared" si="0"/>
        <v>13458049.548515407</v>
      </c>
      <c r="E20" s="75">
        <f>SUM(B20:D20)</f>
        <v>78994989.77000001</v>
      </c>
    </row>
    <row r="21" spans="1:5" s="9" customFormat="1" ht="15.75" thickBot="1">
      <c r="A21" s="70" t="s">
        <v>205</v>
      </c>
      <c r="B21" s="64">
        <f t="shared" si="0"/>
        <v>126940.84</v>
      </c>
      <c r="C21" s="64">
        <f t="shared" si="0"/>
        <v>496235.22</v>
      </c>
      <c r="D21" s="64">
        <f t="shared" si="0"/>
        <v>172423.16</v>
      </c>
      <c r="E21" s="64">
        <f>SUM(B21:D21)</f>
        <v>795599.22</v>
      </c>
    </row>
    <row r="22" spans="1:5" s="8" customFormat="1" ht="15.75" thickBot="1">
      <c r="A22" s="9"/>
      <c r="C22" s="9"/>
      <c r="D22" s="9"/>
      <c r="E22" s="81">
        <f>SUM(E20:E21)</f>
        <v>79790588.99000001</v>
      </c>
    </row>
    <row r="23" spans="1:5" s="8" customFormat="1" ht="15">
      <c r="A23" s="9"/>
      <c r="C23" s="9"/>
      <c r="D23" s="9"/>
      <c r="E23" s="9"/>
    </row>
    <row r="24" spans="1:5" s="8" customFormat="1" ht="15">
      <c r="A24" s="9"/>
      <c r="C24" s="9"/>
      <c r="D24" s="9"/>
      <c r="E24" s="9"/>
    </row>
    <row r="25" spans="1:5" s="8" customFormat="1" ht="15">
      <c r="A25" s="9"/>
      <c r="C25" s="9"/>
      <c r="D25" s="9"/>
      <c r="E25" s="9"/>
    </row>
    <row r="26" spans="1:5" s="8" customFormat="1" ht="15">
      <c r="A26" s="9"/>
      <c r="C26" s="9"/>
      <c r="D26" s="9"/>
      <c r="E26" s="9"/>
    </row>
    <row r="27" spans="1:5" s="8" customFormat="1" ht="15">
      <c r="A27" s="9"/>
      <c r="C27" s="9"/>
      <c r="D27" s="9"/>
      <c r="E27" s="9"/>
    </row>
    <row r="28" spans="1:5" s="8" customFormat="1" ht="15">
      <c r="A28" s="9"/>
      <c r="C28" s="9"/>
      <c r="D28" s="9"/>
      <c r="E28" s="9"/>
    </row>
    <row r="29" spans="1:5" s="8" customFormat="1" ht="15">
      <c r="A29" s="9"/>
      <c r="C29" s="9"/>
      <c r="D29" s="9"/>
      <c r="E29" s="9"/>
    </row>
    <row r="30" spans="1:5" s="8" customFormat="1" ht="15">
      <c r="A30" s="9"/>
      <c r="C30" s="9"/>
      <c r="D30" s="9"/>
      <c r="E30" s="9"/>
    </row>
    <row r="31" spans="1:5" s="8" customFormat="1" ht="15">
      <c r="A31" s="9"/>
      <c r="C31" s="9"/>
      <c r="D31" s="9"/>
      <c r="E31" s="9"/>
    </row>
    <row r="32" ht="15">
      <c r="A32" s="4"/>
    </row>
    <row r="33" ht="15">
      <c r="A33" s="4"/>
    </row>
    <row r="34" ht="15">
      <c r="A34" s="4"/>
    </row>
    <row r="35" ht="15">
      <c r="A35" s="4"/>
    </row>
    <row r="36" ht="15">
      <c r="A36" s="4"/>
    </row>
    <row r="37" ht="15">
      <c r="A37" s="4"/>
    </row>
    <row r="38" ht="15">
      <c r="A38" s="4"/>
    </row>
    <row r="39" ht="15">
      <c r="A39" s="4"/>
    </row>
    <row r="40" ht="15">
      <c r="A40" s="4"/>
    </row>
    <row r="41" ht="15">
      <c r="A41" s="4"/>
    </row>
    <row r="42" ht="15">
      <c r="A42" s="4"/>
    </row>
    <row r="43" ht="15">
      <c r="A43" s="4"/>
    </row>
    <row r="44" ht="15">
      <c r="A44" s="4"/>
    </row>
    <row r="45" ht="15">
      <c r="A45" s="4"/>
    </row>
    <row r="46" ht="15">
      <c r="A46" s="4"/>
    </row>
    <row r="47" ht="15">
      <c r="A47" s="4"/>
    </row>
    <row r="48" ht="15">
      <c r="A48" s="4"/>
    </row>
    <row r="49" ht="15">
      <c r="A49" s="4"/>
    </row>
    <row r="50" ht="15">
      <c r="A50" s="4"/>
    </row>
    <row r="51" ht="15">
      <c r="A51" s="4"/>
    </row>
    <row r="52" ht="15">
      <c r="A52" s="4"/>
    </row>
    <row r="53" ht="15">
      <c r="A53" s="4"/>
    </row>
    <row r="54" ht="15">
      <c r="A54" s="4"/>
    </row>
    <row r="55" ht="15">
      <c r="A55" s="4"/>
    </row>
    <row r="56" ht="15">
      <c r="A56" s="4"/>
    </row>
    <row r="57" ht="15">
      <c r="A57" s="4"/>
    </row>
  </sheetData>
  <sheetProtection/>
  <printOptions/>
  <pageMargins left="0.75" right="0.75" top="1" bottom="1" header="0.5" footer="0.5"/>
  <pageSetup fitToHeight="1" fitToWidth="1" horizontalDpi="600" verticalDpi="600" orientation="landscape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F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7.57421875" style="0" customWidth="1"/>
    <col min="2" max="2" width="22.00390625" style="4" customWidth="1"/>
    <col min="3" max="3" width="19.28125" style="0" customWidth="1"/>
    <col min="4" max="4" width="20.8515625" style="4" customWidth="1"/>
    <col min="5" max="5" width="19.8515625" style="4" customWidth="1"/>
    <col min="6" max="6" width="17.7109375" style="0" customWidth="1"/>
  </cols>
  <sheetData>
    <row r="1" spans="1:5" ht="18">
      <c r="A1" s="1" t="s">
        <v>6</v>
      </c>
      <c r="B1" s="72"/>
      <c r="D1"/>
      <c r="E1"/>
    </row>
    <row r="2" spans="1:5" ht="18">
      <c r="A2" s="1"/>
      <c r="B2" s="72"/>
      <c r="D2"/>
      <c r="E2"/>
    </row>
    <row r="3" spans="1:2" s="102" customFormat="1" ht="15.75">
      <c r="A3" s="120"/>
      <c r="B3" s="121"/>
    </row>
    <row r="4" spans="1:3" ht="18">
      <c r="A4" s="1" t="s">
        <v>94</v>
      </c>
      <c r="B4" s="2"/>
      <c r="C4" s="1"/>
    </row>
    <row r="6" spans="1:6" s="5" customFormat="1" ht="48" thickBot="1">
      <c r="A6" s="6" t="s">
        <v>1</v>
      </c>
      <c r="B6" s="109"/>
      <c r="C6" s="3" t="s">
        <v>2</v>
      </c>
      <c r="D6" s="3" t="s">
        <v>3</v>
      </c>
      <c r="E6" s="3" t="s">
        <v>4</v>
      </c>
      <c r="F6" s="3" t="s">
        <v>157</v>
      </c>
    </row>
    <row r="8" spans="1:6" ht="15">
      <c r="A8" s="72" t="s">
        <v>99</v>
      </c>
      <c r="B8" s="246">
        <f>+Apportionment!C6</f>
        <v>0</v>
      </c>
      <c r="F8" s="4"/>
    </row>
    <row r="9" spans="1:6" ht="15.75" thickBot="1">
      <c r="A9" s="72" t="s">
        <v>215</v>
      </c>
      <c r="B9" s="246">
        <f>SUM('Foundation Calculations'!G8:G17)*-1</f>
        <v>0</v>
      </c>
      <c r="F9" s="4"/>
    </row>
    <row r="10" spans="1:6" ht="16.5" thickBot="1">
      <c r="A10" s="108" t="s">
        <v>95</v>
      </c>
      <c r="B10" s="110">
        <f>+B8+B9</f>
        <v>0</v>
      </c>
      <c r="F10" s="4"/>
    </row>
    <row r="11" spans="1:6" ht="15">
      <c r="A11" s="72"/>
      <c r="B11" s="75"/>
      <c r="F11" s="4"/>
    </row>
    <row r="12" spans="1:6" ht="15">
      <c r="A12" s="72" t="s">
        <v>216</v>
      </c>
      <c r="B12" s="75">
        <f>+'Base FTES Allocations'!E22</f>
        <v>79790588.99000001</v>
      </c>
      <c r="F12" s="4"/>
    </row>
    <row r="13" spans="2:6" ht="15">
      <c r="B13" s="75"/>
      <c r="F13" s="4"/>
    </row>
    <row r="14" spans="1:6" ht="15">
      <c r="A14" s="72" t="s">
        <v>217</v>
      </c>
      <c r="B14" s="63">
        <f>+B10/B12</f>
        <v>0</v>
      </c>
      <c r="F14" s="4"/>
    </row>
    <row r="15" spans="2:6" ht="15">
      <c r="B15" s="75"/>
      <c r="F15" s="4"/>
    </row>
    <row r="16" spans="2:6" ht="15">
      <c r="B16" s="75"/>
      <c r="F16" s="4"/>
    </row>
    <row r="17" spans="1:6" s="4" customFormat="1" ht="15">
      <c r="A17" s="64" t="s">
        <v>209</v>
      </c>
      <c r="B17" s="75"/>
      <c r="C17" s="239">
        <f>+'Base FTES Allocations'!B17</f>
        <v>2626</v>
      </c>
      <c r="D17" s="239">
        <f>+C17</f>
        <v>2626</v>
      </c>
      <c r="E17" s="239">
        <f>+D17</f>
        <v>2626</v>
      </c>
      <c r="F17" s="239"/>
    </row>
    <row r="18" spans="1:5" s="64" customFormat="1" ht="15">
      <c r="A18" s="64" t="s">
        <v>210</v>
      </c>
      <c r="C18" s="64">
        <f>+'Base FTES Allocations'!B16</f>
        <v>4544.013272236447</v>
      </c>
      <c r="D18" s="64">
        <f>+C18</f>
        <v>4544.013272236447</v>
      </c>
      <c r="E18" s="64">
        <f>+D18</f>
        <v>4544.013272236447</v>
      </c>
    </row>
    <row r="19" s="9" customFormat="1" ht="15"/>
    <row r="20" spans="1:6" s="9" customFormat="1" ht="15">
      <c r="A20" s="9" t="s">
        <v>218</v>
      </c>
      <c r="C20" s="64">
        <f aca="true" t="shared" si="0" ref="C20:E21">+C17*$B$14</f>
        <v>0</v>
      </c>
      <c r="D20" s="64">
        <f t="shared" si="0"/>
        <v>0</v>
      </c>
      <c r="E20" s="64">
        <f t="shared" si="0"/>
        <v>0</v>
      </c>
      <c r="F20" s="64"/>
    </row>
    <row r="21" spans="1:6" s="9" customFormat="1" ht="15">
      <c r="A21" s="9" t="s">
        <v>219</v>
      </c>
      <c r="C21" s="218">
        <f t="shared" si="0"/>
        <v>0</v>
      </c>
      <c r="D21" s="218">
        <f t="shared" si="0"/>
        <v>0</v>
      </c>
      <c r="E21" s="218">
        <f t="shared" si="0"/>
        <v>0</v>
      </c>
      <c r="F21" s="218"/>
    </row>
    <row r="22" s="9" customFormat="1" ht="15"/>
    <row r="23" spans="1:6" s="9" customFormat="1" ht="15">
      <c r="A23" s="9" t="s">
        <v>213</v>
      </c>
      <c r="C23" s="218">
        <f>+'Base FTES Allocations'!B9*'FTES COLA Allocation'!C20</f>
        <v>0</v>
      </c>
      <c r="D23" s="218">
        <f>+'Base FTES Allocations'!C9*'FTES COLA Allocation'!D20</f>
        <v>0</v>
      </c>
      <c r="E23" s="218">
        <f>+'Base FTES Allocations'!D9*'FTES COLA Allocation'!E20</f>
        <v>0</v>
      </c>
      <c r="F23" s="218">
        <f>SUM(C23:E23)</f>
        <v>0</v>
      </c>
    </row>
    <row r="24" spans="1:6" s="217" customFormat="1" ht="15">
      <c r="A24" s="217" t="s">
        <v>214</v>
      </c>
      <c r="C24" s="218">
        <f>+'Base FTES Allocations'!B8*'FTES COLA Allocation'!C21</f>
        <v>0</v>
      </c>
      <c r="D24" s="218">
        <f>+'Base FTES Allocations'!C8*'FTES COLA Allocation'!D21</f>
        <v>0</v>
      </c>
      <c r="E24" s="218">
        <f>+'Base FTES Allocations'!D8*'FTES COLA Allocation'!E21</f>
        <v>0</v>
      </c>
      <c r="F24" s="218">
        <f>SUM(C24:E24)</f>
        <v>0</v>
      </c>
    </row>
    <row r="25" s="4" customFormat="1" ht="15">
      <c r="F25" s="242"/>
    </row>
    <row r="26" ht="15">
      <c r="A26" s="4"/>
    </row>
    <row r="27" ht="15">
      <c r="A27" s="4"/>
    </row>
    <row r="28" ht="15">
      <c r="A28" s="4"/>
    </row>
    <row r="29" ht="15">
      <c r="A29" s="4"/>
    </row>
    <row r="30" ht="15">
      <c r="A30" s="4"/>
    </row>
    <row r="31" ht="15">
      <c r="A31" s="4"/>
    </row>
    <row r="32" ht="15">
      <c r="A32" s="4"/>
    </row>
    <row r="33" ht="15">
      <c r="A33" s="4"/>
    </row>
    <row r="34" ht="15">
      <c r="A34" s="4"/>
    </row>
    <row r="35" ht="15">
      <c r="A35" s="4"/>
    </row>
    <row r="36" ht="15">
      <c r="A36" s="4"/>
    </row>
    <row r="37" ht="15">
      <c r="A37" s="4"/>
    </row>
    <row r="38" ht="15">
      <c r="A38" s="4"/>
    </row>
    <row r="39" ht="15">
      <c r="A39" s="4"/>
    </row>
    <row r="40" ht="15">
      <c r="A40" s="4"/>
    </row>
  </sheetData>
  <sheetProtection/>
  <printOptions/>
  <pageMargins left="0.75" right="0.75" top="1" bottom="1" header="0.5" footer="0.5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Kern Community College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KCCDUser</dc:creator>
  <cp:keywords/>
  <dc:description/>
  <cp:lastModifiedBy>mvargas</cp:lastModifiedBy>
  <cp:lastPrinted>2007-02-19T22:31:16Z</cp:lastPrinted>
  <dcterms:created xsi:type="dcterms:W3CDTF">2006-11-12T19:18:06Z</dcterms:created>
  <dcterms:modified xsi:type="dcterms:W3CDTF">2009-11-02T19:29:51Z</dcterms:modified>
  <cp:category/>
  <cp:version/>
  <cp:contentType/>
  <cp:contentStatus/>
</cp:coreProperties>
</file>